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en_skoroszyt"/>
  <bookViews>
    <workbookView xWindow="-15" yWindow="-15" windowWidth="12015" windowHeight="10110" activeTab="1"/>
  </bookViews>
  <sheets>
    <sheet name="Hist" sheetId="36" r:id="rId1"/>
    <sheet name="SUM_CDP" sheetId="41" r:id="rId2"/>
    <sheet name="BAU" sheetId="40" state="hidden" r:id="rId3"/>
    <sheet name="SUM_SEAP" sheetId="38" r:id="rId4"/>
    <sheet name="Rap_GCP" sheetId="10" state="hidden" r:id="rId5"/>
    <sheet name="Rap_EM" sheetId="32" state="hidden" r:id="rId6"/>
    <sheet name="SUM_PGN" sheetId="15" r:id="rId7"/>
    <sheet name="pojazdy_przeliczenie" sheetId="46" state="hidden" r:id="rId8"/>
    <sheet name="II. TRANS (obliczenie wskaźnika" sheetId="34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8">#REF!</definedName>
    <definedName name="GHG" localSheetId="1">#REF!</definedName>
    <definedName name="GHG">#REF!</definedName>
    <definedName name="GWP_CH4" localSheetId="1">[2]PAR_GWP!$C$5</definedName>
    <definedName name="GWP_CH4">#REF!</definedName>
    <definedName name="GWP_HFC" localSheetId="1">[2]PAR_GWP!$C$10</definedName>
    <definedName name="GWP_HFC">#REF!</definedName>
    <definedName name="GWP_N2O" localSheetId="1">[2]PAR_GWP!$C$6</definedName>
    <definedName name="GWP_N2O">#REF!</definedName>
    <definedName name="GWP_NF3" localSheetId="1">[2]PAR_GWP!$C$8</definedName>
    <definedName name="GWP_NF3">#REF!</definedName>
    <definedName name="GWP_PFC" localSheetId="1">[2]PAR_GWP!$C$9</definedName>
    <definedName name="GWP_PFC">#REF!</definedName>
    <definedName name="GWP_SF6" localSheetId="1">[2]PAR_GWP!$C$7</definedName>
    <definedName name="GWP_SF6">#REF!</definedName>
    <definedName name="Instrument">#REF!</definedName>
    <definedName name="Obszar">#REF!</definedName>
    <definedName name="paliwa" localSheetId="1">[2]PAR_PALIWA!$B$4:$B$20</definedName>
    <definedName name="paliwa">#REF!</definedName>
    <definedName name="rok_inw">SUM_SEAP!$E$3</definedName>
    <definedName name="stan">#REF!</definedName>
    <definedName name="V1_CH4_2013">'[2]V. AFOLU'!#REF!</definedName>
    <definedName name="V1_CO2e_1990">'[2]V. AFOLU'!$M$13</definedName>
    <definedName name="V1_CO2e_2013">'[2]V. AFOLU'!#REF!</definedName>
    <definedName name="V1_N2O_2013">'[2]V. AFOLU'!#REF!</definedName>
    <definedName name="vehiclefleeteco2">'[3]Govt-Vehicle Fleet'!$AH$70</definedName>
    <definedName name="WE_BaP_N_węgiel_kam.">[4]Wskaźniki!$Z$12</definedName>
    <definedName name="WE_CO_N_węgiel_kam.">[4]Wskaźniki!$W$12</definedName>
    <definedName name="WE_NO2_N_węgiel_kam.">[4]Wskaźniki!$T$12</definedName>
    <definedName name="WE_PM10_N_węgiel_kam.">[4]Wskaźniki!$K$12</definedName>
    <definedName name="WE_PM2.5_N_węgiel_kam.">[4]Wskaźniki!$N$12</definedName>
    <definedName name="WE_SO2_N_węgiel_kam.">[4]Wskaźniki!$Q$12</definedName>
    <definedName name="WO_węgiel_kam.">[4]Wskaźniki!$D$12</definedName>
    <definedName name="Zrodlo">#REF!</definedName>
  </definedNames>
  <calcPr calcId="124519"/>
  <fileRecoveryPr autoRecover="0"/>
</workbook>
</file>

<file path=xl/calcChain.xml><?xml version="1.0" encoding="utf-8"?>
<calcChain xmlns="http://schemas.openxmlformats.org/spreadsheetml/2006/main">
  <c r="S50" i="46"/>
  <c r="R50"/>
  <c r="Q50"/>
  <c r="P50"/>
  <c r="S49"/>
  <c r="R49"/>
  <c r="Q49"/>
  <c r="P49"/>
  <c r="S48"/>
  <c r="R48"/>
  <c r="Q48"/>
  <c r="P48"/>
  <c r="S47"/>
  <c r="R47"/>
  <c r="Q47"/>
  <c r="P47"/>
  <c r="S46"/>
  <c r="R46"/>
  <c r="Q46"/>
  <c r="P46"/>
  <c r="S45"/>
  <c r="R45"/>
  <c r="Q45"/>
  <c r="P45"/>
  <c r="S42"/>
  <c r="R42"/>
  <c r="Q42"/>
  <c r="P42"/>
  <c r="S41"/>
  <c r="R41"/>
  <c r="Q41"/>
  <c r="P41"/>
  <c r="S40"/>
  <c r="R40"/>
  <c r="Q40"/>
  <c r="P40"/>
  <c r="S39"/>
  <c r="R39"/>
  <c r="Q39"/>
  <c r="P39"/>
  <c r="S38"/>
  <c r="R38"/>
  <c r="Q38"/>
  <c r="P38"/>
  <c r="S37"/>
  <c r="R37"/>
  <c r="Q37"/>
  <c r="P37"/>
  <c r="S34"/>
  <c r="R34"/>
  <c r="Q34"/>
  <c r="P34"/>
  <c r="S33"/>
  <c r="T33" s="1"/>
  <c r="R33"/>
  <c r="Q33"/>
  <c r="P33"/>
  <c r="S32"/>
  <c r="R32"/>
  <c r="Q32"/>
  <c r="P32"/>
  <c r="S31"/>
  <c r="R31"/>
  <c r="Q31"/>
  <c r="P31"/>
  <c r="S30"/>
  <c r="R30"/>
  <c r="Q30"/>
  <c r="P30"/>
  <c r="S29"/>
  <c r="T29" s="1"/>
  <c r="R29"/>
  <c r="Q29"/>
  <c r="P29"/>
  <c r="S26"/>
  <c r="R26"/>
  <c r="Q26"/>
  <c r="P26"/>
  <c r="S25"/>
  <c r="R25"/>
  <c r="Q25"/>
  <c r="P25"/>
  <c r="S24"/>
  <c r="R24"/>
  <c r="Q24"/>
  <c r="P24"/>
  <c r="S23"/>
  <c r="T23" s="1"/>
  <c r="R23"/>
  <c r="Q23"/>
  <c r="P23"/>
  <c r="S22"/>
  <c r="R22"/>
  <c r="Q22"/>
  <c r="P22"/>
  <c r="S21"/>
  <c r="R21"/>
  <c r="Q21"/>
  <c r="P21"/>
  <c r="S18"/>
  <c r="R18"/>
  <c r="Q18"/>
  <c r="P18"/>
  <c r="S17"/>
  <c r="R17"/>
  <c r="Q17"/>
  <c r="P17"/>
  <c r="S16"/>
  <c r="R16"/>
  <c r="Q16"/>
  <c r="P16"/>
  <c r="S15"/>
  <c r="R15"/>
  <c r="Q15"/>
  <c r="P15"/>
  <c r="S14"/>
  <c r="R14"/>
  <c r="Q14"/>
  <c r="P14"/>
  <c r="S13"/>
  <c r="T13" s="1"/>
  <c r="R13"/>
  <c r="Q13"/>
  <c r="P13"/>
  <c r="P6"/>
  <c r="Q6"/>
  <c r="R6"/>
  <c r="S6"/>
  <c r="P7"/>
  <c r="Q7"/>
  <c r="R7"/>
  <c r="S7"/>
  <c r="P8"/>
  <c r="Q8"/>
  <c r="R8"/>
  <c r="S8"/>
  <c r="P9"/>
  <c r="Q9"/>
  <c r="R9"/>
  <c r="S9"/>
  <c r="P10"/>
  <c r="Q10"/>
  <c r="R10"/>
  <c r="S10"/>
  <c r="Q5"/>
  <c r="R5"/>
  <c r="S5"/>
  <c r="P5"/>
  <c r="T58"/>
  <c r="T57"/>
  <c r="T56"/>
  <c r="T55"/>
  <c r="T54"/>
  <c r="T53"/>
  <c r="T39"/>
  <c r="T17"/>
  <c r="D67"/>
  <c r="E67" s="1"/>
  <c r="E66"/>
  <c r="E65"/>
  <c r="D64"/>
  <c r="E64" s="1"/>
  <c r="E63"/>
  <c r="E62"/>
  <c r="G58"/>
  <c r="G57"/>
  <c r="G56"/>
  <c r="G55"/>
  <c r="G54"/>
  <c r="G53"/>
  <c r="G50"/>
  <c r="G49"/>
  <c r="G48"/>
  <c r="G47"/>
  <c r="G46"/>
  <c r="G45"/>
  <c r="G42"/>
  <c r="G41"/>
  <c r="G40"/>
  <c r="G39"/>
  <c r="G38"/>
  <c r="G37"/>
  <c r="G34"/>
  <c r="G33"/>
  <c r="G32"/>
  <c r="G31"/>
  <c r="G30"/>
  <c r="G29"/>
  <c r="G26"/>
  <c r="G25"/>
  <c r="G24"/>
  <c r="G23"/>
  <c r="G22"/>
  <c r="G21"/>
  <c r="G18"/>
  <c r="G17"/>
  <c r="G16"/>
  <c r="G15"/>
  <c r="G14"/>
  <c r="G13"/>
  <c r="G10"/>
  <c r="G9"/>
  <c r="G8"/>
  <c r="G7"/>
  <c r="G6"/>
  <c r="G5"/>
  <c r="T45" l="1"/>
  <c r="T5"/>
  <c r="T10"/>
  <c r="T9"/>
  <c r="T8"/>
  <c r="T6"/>
  <c r="T14"/>
  <c r="T15"/>
  <c r="T16"/>
  <c r="T18"/>
  <c r="T21"/>
  <c r="T22"/>
  <c r="T24"/>
  <c r="T25"/>
  <c r="T26"/>
  <c r="T30"/>
  <c r="T31"/>
  <c r="T32"/>
  <c r="T34"/>
  <c r="T37"/>
  <c r="T38"/>
  <c r="T40"/>
  <c r="T41"/>
  <c r="T42"/>
  <c r="T46"/>
  <c r="T47"/>
  <c r="T48"/>
  <c r="T50"/>
  <c r="T7"/>
  <c r="T49"/>
  <c r="C142" i="40" l="1"/>
  <c r="C76"/>
  <c r="M15"/>
  <c r="M16"/>
  <c r="M17"/>
  <c r="M39" s="1"/>
  <c r="M18"/>
  <c r="M40" s="1"/>
  <c r="M21"/>
  <c r="M24"/>
  <c r="M46" s="1"/>
  <c r="M25"/>
  <c r="M47" s="1"/>
  <c r="M26"/>
  <c r="M48" s="1"/>
  <c r="M29"/>
  <c r="X29"/>
  <c r="Y29" s="1"/>
  <c r="X28"/>
  <c r="Y28" s="1"/>
  <c r="X27"/>
  <c r="Y27" s="1"/>
  <c r="X26"/>
  <c r="Y26" s="1"/>
  <c r="X25"/>
  <c r="Y25" s="1"/>
  <c r="X24"/>
  <c r="Y24" s="1"/>
  <c r="X23"/>
  <c r="Y23" s="1"/>
  <c r="X21"/>
  <c r="Y21" s="1"/>
  <c r="X20"/>
  <c r="Y20" s="1"/>
  <c r="X19"/>
  <c r="Y19" s="1"/>
  <c r="X18"/>
  <c r="Y18" s="1"/>
  <c r="Y14"/>
  <c r="AA25" s="1"/>
  <c r="F30" s="1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M107"/>
  <c r="L107"/>
  <c r="J107"/>
  <c r="I107"/>
  <c r="H107"/>
  <c r="G107"/>
  <c r="F107"/>
  <c r="M106"/>
  <c r="L106"/>
  <c r="J106"/>
  <c r="I106"/>
  <c r="H106"/>
  <c r="G106"/>
  <c r="F106"/>
  <c r="M105"/>
  <c r="L105"/>
  <c r="J105"/>
  <c r="I105"/>
  <c r="H105"/>
  <c r="G105"/>
  <c r="F105"/>
  <c r="P91"/>
  <c r="O91"/>
  <c r="N91"/>
  <c r="M91"/>
  <c r="L91"/>
  <c r="K91"/>
  <c r="J91"/>
  <c r="I91"/>
  <c r="H91"/>
  <c r="G91"/>
  <c r="F91"/>
  <c r="E91"/>
  <c r="D91"/>
  <c r="C91"/>
  <c r="C83"/>
  <c r="E82"/>
  <c r="E81"/>
  <c r="E80"/>
  <c r="E79"/>
  <c r="C107"/>
  <c r="P46" i="38"/>
  <c r="O46"/>
  <c r="N46"/>
  <c r="M46"/>
  <c r="L46"/>
  <c r="K46"/>
  <c r="J46"/>
  <c r="I46"/>
  <c r="H46"/>
  <c r="G46"/>
  <c r="F46"/>
  <c r="E46"/>
  <c r="D46"/>
  <c r="C46"/>
  <c r="C38"/>
  <c r="E37"/>
  <c r="E36"/>
  <c r="E35"/>
  <c r="E34"/>
  <c r="C106" i="40"/>
  <c r="K61" i="34"/>
  <c r="L61"/>
  <c r="K65"/>
  <c r="L65"/>
  <c r="N65"/>
  <c r="N81"/>
  <c r="N79"/>
  <c r="M69"/>
  <c r="R6" i="32"/>
  <c r="R43" s="1"/>
  <c r="Q6"/>
  <c r="Q43" s="1"/>
  <c r="K6"/>
  <c r="K43" s="1"/>
  <c r="L6"/>
  <c r="L43" s="1"/>
  <c r="N6"/>
  <c r="N43" s="1"/>
  <c r="E41" i="15"/>
  <c r="N135" i="34"/>
  <c r="N134"/>
  <c r="N133"/>
  <c r="N132"/>
  <c r="N131"/>
  <c r="N130"/>
  <c r="C126"/>
  <c r="D126" s="1"/>
  <c r="I122"/>
  <c r="I123" s="1"/>
  <c r="H122"/>
  <c r="H123" s="1"/>
  <c r="E120"/>
  <c r="N119"/>
  <c r="M119"/>
  <c r="L119"/>
  <c r="K119"/>
  <c r="J119"/>
  <c r="I119"/>
  <c r="H119"/>
  <c r="G119"/>
  <c r="N118"/>
  <c r="M118"/>
  <c r="L118"/>
  <c r="K118"/>
  <c r="J118"/>
  <c r="I118"/>
  <c r="H118"/>
  <c r="G118"/>
  <c r="N117"/>
  <c r="M117"/>
  <c r="L117"/>
  <c r="K117"/>
  <c r="J117"/>
  <c r="I117"/>
  <c r="H117"/>
  <c r="G117"/>
  <c r="N116"/>
  <c r="M116"/>
  <c r="L116"/>
  <c r="K116"/>
  <c r="J116"/>
  <c r="I116"/>
  <c r="H116"/>
  <c r="G116"/>
  <c r="N115"/>
  <c r="M115"/>
  <c r="L115"/>
  <c r="K115"/>
  <c r="J115"/>
  <c r="I115"/>
  <c r="H115"/>
  <c r="G115"/>
  <c r="N114"/>
  <c r="M114"/>
  <c r="L114"/>
  <c r="K114"/>
  <c r="J114"/>
  <c r="I114"/>
  <c r="H114"/>
  <c r="G114"/>
  <c r="N113"/>
  <c r="M113"/>
  <c r="L113"/>
  <c r="K113"/>
  <c r="J113"/>
  <c r="I113"/>
  <c r="H113"/>
  <c r="G113"/>
  <c r="N112"/>
  <c r="M112"/>
  <c r="L112"/>
  <c r="L120" s="1"/>
  <c r="K112"/>
  <c r="J112"/>
  <c r="I112"/>
  <c r="H112"/>
  <c r="G112"/>
  <c r="N111"/>
  <c r="N120"/>
  <c r="M111"/>
  <c r="L111"/>
  <c r="K111"/>
  <c r="K120"/>
  <c r="J111"/>
  <c r="J120"/>
  <c r="I111"/>
  <c r="H111"/>
  <c r="H120" s="1"/>
  <c r="G111"/>
  <c r="G120"/>
  <c r="F109"/>
  <c r="E109"/>
  <c r="N97"/>
  <c r="M97"/>
  <c r="L97"/>
  <c r="K97"/>
  <c r="G97"/>
  <c r="N96"/>
  <c r="M96"/>
  <c r="L96"/>
  <c r="K96"/>
  <c r="G96"/>
  <c r="N95"/>
  <c r="M95"/>
  <c r="L95"/>
  <c r="K95"/>
  <c r="G95"/>
  <c r="N94"/>
  <c r="M94"/>
  <c r="L94"/>
  <c r="K94"/>
  <c r="G94"/>
  <c r="N93"/>
  <c r="M93"/>
  <c r="L93"/>
  <c r="K93"/>
  <c r="G93"/>
  <c r="G92"/>
  <c r="N89"/>
  <c r="M89"/>
  <c r="L89"/>
  <c r="K89"/>
  <c r="O89" s="1"/>
  <c r="G89"/>
  <c r="N88"/>
  <c r="M88"/>
  <c r="L88"/>
  <c r="K88"/>
  <c r="G88"/>
  <c r="N87"/>
  <c r="M87"/>
  <c r="L87"/>
  <c r="K87"/>
  <c r="G87"/>
  <c r="N86"/>
  <c r="M86"/>
  <c r="L86"/>
  <c r="K86"/>
  <c r="G86"/>
  <c r="N85"/>
  <c r="M85"/>
  <c r="L85"/>
  <c r="K85"/>
  <c r="O85" s="1"/>
  <c r="G85"/>
  <c r="G84"/>
  <c r="M81"/>
  <c r="L81"/>
  <c r="K81"/>
  <c r="G81"/>
  <c r="N80"/>
  <c r="M80"/>
  <c r="L80"/>
  <c r="K80"/>
  <c r="G80"/>
  <c r="M79"/>
  <c r="L79"/>
  <c r="K79"/>
  <c r="G79"/>
  <c r="N78"/>
  <c r="M78"/>
  <c r="L78"/>
  <c r="K78"/>
  <c r="G78"/>
  <c r="N77"/>
  <c r="M77"/>
  <c r="L77"/>
  <c r="K77"/>
  <c r="O77" s="1"/>
  <c r="G77"/>
  <c r="G76"/>
  <c r="N73"/>
  <c r="M73"/>
  <c r="L73"/>
  <c r="K73"/>
  <c r="G73"/>
  <c r="N72"/>
  <c r="M72"/>
  <c r="L72"/>
  <c r="K72"/>
  <c r="G72"/>
  <c r="N71"/>
  <c r="M71"/>
  <c r="L71"/>
  <c r="K71"/>
  <c r="O71" s="1"/>
  <c r="G71"/>
  <c r="N70"/>
  <c r="M70"/>
  <c r="L70"/>
  <c r="O70" s="1"/>
  <c r="K70"/>
  <c r="G70"/>
  <c r="N69"/>
  <c r="L69"/>
  <c r="K69"/>
  <c r="G69"/>
  <c r="G68"/>
  <c r="M65"/>
  <c r="G65"/>
  <c r="N64"/>
  <c r="M64"/>
  <c r="K64"/>
  <c r="G64"/>
  <c r="N63"/>
  <c r="M63"/>
  <c r="K63"/>
  <c r="G63"/>
  <c r="N62"/>
  <c r="M62"/>
  <c r="L62"/>
  <c r="K62"/>
  <c r="G62"/>
  <c r="N61"/>
  <c r="M61"/>
  <c r="G61"/>
  <c r="G60"/>
  <c r="N57"/>
  <c r="M57"/>
  <c r="L57"/>
  <c r="K57"/>
  <c r="O57" s="1"/>
  <c r="G57"/>
  <c r="N56"/>
  <c r="M56"/>
  <c r="L56"/>
  <c r="O56" s="1"/>
  <c r="K56"/>
  <c r="G56"/>
  <c r="N55"/>
  <c r="M55"/>
  <c r="L55"/>
  <c r="K55"/>
  <c r="G55"/>
  <c r="N54"/>
  <c r="M54"/>
  <c r="L54"/>
  <c r="K54"/>
  <c r="G54"/>
  <c r="N53"/>
  <c r="M53"/>
  <c r="L53"/>
  <c r="K53"/>
  <c r="O53" s="1"/>
  <c r="G53"/>
  <c r="G52"/>
  <c r="N49"/>
  <c r="M49"/>
  <c r="L49"/>
  <c r="K49"/>
  <c r="G49"/>
  <c r="N48"/>
  <c r="M48"/>
  <c r="L48"/>
  <c r="K48"/>
  <c r="G48"/>
  <c r="N47"/>
  <c r="M47"/>
  <c r="L47"/>
  <c r="K47"/>
  <c r="O47" s="1"/>
  <c r="G47"/>
  <c r="N46"/>
  <c r="M46"/>
  <c r="L46"/>
  <c r="O46" s="1"/>
  <c r="K46"/>
  <c r="G46"/>
  <c r="N45"/>
  <c r="M45"/>
  <c r="L45"/>
  <c r="K45"/>
  <c r="G45"/>
  <c r="G44"/>
  <c r="N39"/>
  <c r="M39"/>
  <c r="L39"/>
  <c r="J39"/>
  <c r="I39"/>
  <c r="H39"/>
  <c r="G39"/>
  <c r="N38"/>
  <c r="M38"/>
  <c r="L38"/>
  <c r="J38"/>
  <c r="I38"/>
  <c r="H38"/>
  <c r="G38"/>
  <c r="N36"/>
  <c r="M36"/>
  <c r="L36"/>
  <c r="J36"/>
  <c r="I36"/>
  <c r="H36"/>
  <c r="G36"/>
  <c r="N35"/>
  <c r="M35"/>
  <c r="L35"/>
  <c r="J35"/>
  <c r="I35"/>
  <c r="H35"/>
  <c r="G35"/>
  <c r="N33"/>
  <c r="M33"/>
  <c r="L33"/>
  <c r="J33"/>
  <c r="I33"/>
  <c r="H33"/>
  <c r="G33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O72"/>
  <c r="O62"/>
  <c r="O48"/>
  <c r="O80"/>
  <c r="O55"/>
  <c r="N92"/>
  <c r="M92"/>
  <c r="N84"/>
  <c r="M84"/>
  <c r="L84"/>
  <c r="K84"/>
  <c r="N76"/>
  <c r="L76"/>
  <c r="K76"/>
  <c r="N68"/>
  <c r="L68"/>
  <c r="K68"/>
  <c r="N60"/>
  <c r="K60"/>
  <c r="N52"/>
  <c r="M52"/>
  <c r="L52"/>
  <c r="K52"/>
  <c r="N44"/>
  <c r="M44"/>
  <c r="L44"/>
  <c r="K92"/>
  <c r="L92"/>
  <c r="K44"/>
  <c r="Z43" i="32"/>
  <c r="Y43"/>
  <c r="P43"/>
  <c r="V43"/>
  <c r="X43"/>
  <c r="AC43"/>
  <c r="AB43"/>
  <c r="U43"/>
  <c r="AE43"/>
  <c r="T43"/>
  <c r="O54" i="34" l="1"/>
  <c r="O78"/>
  <c r="O86"/>
  <c r="O87"/>
  <c r="O88"/>
  <c r="O93"/>
  <c r="O94"/>
  <c r="O95"/>
  <c r="O96"/>
  <c r="O97"/>
  <c r="O81"/>
  <c r="P65" i="38"/>
  <c r="O45" i="34"/>
  <c r="O49"/>
  <c r="O73"/>
  <c r="O61"/>
  <c r="O92"/>
  <c r="F30" s="1"/>
  <c r="O84"/>
  <c r="F28" s="1"/>
  <c r="K28" s="1"/>
  <c r="L63"/>
  <c r="O63" s="1"/>
  <c r="I120"/>
  <c r="M120"/>
  <c r="L60"/>
  <c r="L64"/>
  <c r="O64" s="1"/>
  <c r="M60"/>
  <c r="M68"/>
  <c r="O68" s="1"/>
  <c r="M76"/>
  <c r="O76" s="1"/>
  <c r="AA18" i="40"/>
  <c r="S21" s="1"/>
  <c r="F41" i="15"/>
  <c r="K22" i="34"/>
  <c r="P22" s="1"/>
  <c r="K16"/>
  <c r="P16" s="1"/>
  <c r="K18"/>
  <c r="P18" s="1"/>
  <c r="K33"/>
  <c r="O33" s="1"/>
  <c r="K39"/>
  <c r="Q39" s="1"/>
  <c r="O44"/>
  <c r="F24" s="1"/>
  <c r="K24" s="1"/>
  <c r="O24" s="1"/>
  <c r="O52"/>
  <c r="F25" s="1"/>
  <c r="O60"/>
  <c r="H129"/>
  <c r="C105" i="40"/>
  <c r="E38" i="38"/>
  <c r="K122" i="34"/>
  <c r="L122" s="1"/>
  <c r="M122" s="1"/>
  <c r="E83" i="40"/>
  <c r="C113"/>
  <c r="S138" s="1"/>
  <c r="K25" i="34"/>
  <c r="Q25" s="1"/>
  <c r="K8"/>
  <c r="P8" s="1"/>
  <c r="K12"/>
  <c r="O12" s="1"/>
  <c r="K14"/>
  <c r="O14" s="1"/>
  <c r="K17"/>
  <c r="Q17" s="1"/>
  <c r="K19"/>
  <c r="P19" s="1"/>
  <c r="K21"/>
  <c r="Q21" s="1"/>
  <c r="K38"/>
  <c r="O38" s="1"/>
  <c r="K30"/>
  <c r="P30" s="1"/>
  <c r="K10"/>
  <c r="P10" s="1"/>
  <c r="K9"/>
  <c r="O9" s="1"/>
  <c r="C114" i="40"/>
  <c r="S139" s="1"/>
  <c r="O69" i="34"/>
  <c r="O79"/>
  <c r="O65"/>
  <c r="K11"/>
  <c r="O11" s="1"/>
  <c r="K13"/>
  <c r="O13" s="1"/>
  <c r="K20"/>
  <c r="P20" s="1"/>
  <c r="AA21" i="40"/>
  <c r="S29" s="1"/>
  <c r="S30" s="1"/>
  <c r="AA27"/>
  <c r="D30" s="1"/>
  <c r="D25" s="1"/>
  <c r="AA24"/>
  <c r="AA20"/>
  <c r="S16" s="1"/>
  <c r="AA29"/>
  <c r="AA26"/>
  <c r="AA23"/>
  <c r="K30" s="1"/>
  <c r="H133" i="34"/>
  <c r="K133" s="1"/>
  <c r="H130"/>
  <c r="K130" s="1"/>
  <c r="H135"/>
  <c r="K135" s="1"/>
  <c r="H134"/>
  <c r="K134" s="1"/>
  <c r="H132"/>
  <c r="K132" s="1"/>
  <c r="H131"/>
  <c r="K131" s="1"/>
  <c r="D21" i="40"/>
  <c r="D18"/>
  <c r="D17"/>
  <c r="M49"/>
  <c r="F21"/>
  <c r="F16"/>
  <c r="F17"/>
  <c r="F29"/>
  <c r="F26"/>
  <c r="F15"/>
  <c r="F25"/>
  <c r="F24"/>
  <c r="F18"/>
  <c r="F40" s="1"/>
  <c r="E126" i="34"/>
  <c r="G126" s="1"/>
  <c r="F35" s="1"/>
  <c r="K35" s="1"/>
  <c r="L30" i="40"/>
  <c r="J30"/>
  <c r="O30"/>
  <c r="N30"/>
  <c r="Q30"/>
  <c r="I30"/>
  <c r="AA19"/>
  <c r="AA28"/>
  <c r="E30" s="1"/>
  <c r="P28" i="34" l="1"/>
  <c r="Q28"/>
  <c r="R28" s="1"/>
  <c r="E105" i="40"/>
  <c r="F126" i="34"/>
  <c r="H126" s="1"/>
  <c r="F36" s="1"/>
  <c r="K36" s="1"/>
  <c r="P36" s="1"/>
  <c r="D15" i="40"/>
  <c r="D16"/>
  <c r="F26" i="34"/>
  <c r="K26" s="1"/>
  <c r="Q26" s="1"/>
  <c r="F29"/>
  <c r="K29" s="1"/>
  <c r="O29" s="1"/>
  <c r="Q10"/>
  <c r="Q33"/>
  <c r="D24" i="40"/>
  <c r="D29"/>
  <c r="P33" i="34"/>
  <c r="D26" i="40"/>
  <c r="F27" i="34"/>
  <c r="K27" s="1"/>
  <c r="P27" s="1"/>
  <c r="S17" i="40"/>
  <c r="Q24" i="34"/>
  <c r="P21"/>
  <c r="Q12"/>
  <c r="O21"/>
  <c r="P24"/>
  <c r="O19"/>
  <c r="Q18"/>
  <c r="O18"/>
  <c r="O10"/>
  <c r="O25"/>
  <c r="O28"/>
  <c r="Q16"/>
  <c r="P25"/>
  <c r="O16"/>
  <c r="Q8"/>
  <c r="O22"/>
  <c r="P9"/>
  <c r="Q22"/>
  <c r="R22" s="1"/>
  <c r="M51" i="40"/>
  <c r="O30" i="34"/>
  <c r="P38"/>
  <c r="O8"/>
  <c r="R8" s="1"/>
  <c r="P39"/>
  <c r="O39"/>
  <c r="Q19"/>
  <c r="D37" i="40"/>
  <c r="M38"/>
  <c r="O17" i="34"/>
  <c r="P12"/>
  <c r="P17"/>
  <c r="P14"/>
  <c r="Q38"/>
  <c r="R38" s="1"/>
  <c r="O27"/>
  <c r="Q27"/>
  <c r="Q30"/>
  <c r="O20"/>
  <c r="Q14"/>
  <c r="P26"/>
  <c r="Q11"/>
  <c r="Q9"/>
  <c r="Q13"/>
  <c r="P11"/>
  <c r="Q20"/>
  <c r="M43" i="40"/>
  <c r="R33" i="34"/>
  <c r="P13"/>
  <c r="P30" i="40"/>
  <c r="R30"/>
  <c r="H30"/>
  <c r="G30"/>
  <c r="E24"/>
  <c r="E46" s="1"/>
  <c r="E15"/>
  <c r="E37" s="1"/>
  <c r="E25"/>
  <c r="E47" s="1"/>
  <c r="E18"/>
  <c r="E40" s="1"/>
  <c r="E26"/>
  <c r="E48" s="1"/>
  <c r="E21"/>
  <c r="E16"/>
  <c r="E17"/>
  <c r="E39" s="1"/>
  <c r="E29"/>
  <c r="I18"/>
  <c r="I40" s="1"/>
  <c r="I15"/>
  <c r="I37" s="1"/>
  <c r="I21"/>
  <c r="I43" s="1"/>
  <c r="I26"/>
  <c r="I29"/>
  <c r="I16"/>
  <c r="I38" s="1"/>
  <c r="I24"/>
  <c r="I46" s="1"/>
  <c r="I17"/>
  <c r="I39" s="1"/>
  <c r="I25"/>
  <c r="O17"/>
  <c r="O39" s="1"/>
  <c r="O25"/>
  <c r="O47" s="1"/>
  <c r="O26"/>
  <c r="O16"/>
  <c r="O38" s="1"/>
  <c r="O24"/>
  <c r="O46" s="1"/>
  <c r="O15"/>
  <c r="O37" s="1"/>
  <c r="O21"/>
  <c r="O43" s="1"/>
  <c r="O29"/>
  <c r="O51" s="1"/>
  <c r="O18"/>
  <c r="O40" s="1"/>
  <c r="N17"/>
  <c r="N39" s="1"/>
  <c r="N26"/>
  <c r="N21"/>
  <c r="N43" s="1"/>
  <c r="N16"/>
  <c r="N38" s="1"/>
  <c r="N18"/>
  <c r="N40" s="1"/>
  <c r="N25"/>
  <c r="N47" s="1"/>
  <c r="N15"/>
  <c r="N37" s="1"/>
  <c r="N24"/>
  <c r="N46" s="1"/>
  <c r="N29"/>
  <c r="N51" s="1"/>
  <c r="L25"/>
  <c r="L47" s="1"/>
  <c r="L16"/>
  <c r="L38" s="1"/>
  <c r="L24"/>
  <c r="L46" s="1"/>
  <c r="L15"/>
  <c r="L37" s="1"/>
  <c r="L21"/>
  <c r="L43" s="1"/>
  <c r="L29"/>
  <c r="L51" s="1"/>
  <c r="L18"/>
  <c r="L40" s="1"/>
  <c r="L26"/>
  <c r="L48" s="1"/>
  <c r="L17"/>
  <c r="P35" i="34"/>
  <c r="O35"/>
  <c r="Q35"/>
  <c r="F37" i="40"/>
  <c r="S25"/>
  <c r="S26"/>
  <c r="Q15"/>
  <c r="Q37" s="1"/>
  <c r="Q29"/>
  <c r="Q51" s="1"/>
  <c r="Q21"/>
  <c r="Q43" s="1"/>
  <c r="Q25"/>
  <c r="Q47" s="1"/>
  <c r="Q16"/>
  <c r="Q38" s="1"/>
  <c r="Q24"/>
  <c r="Q46" s="1"/>
  <c r="Q17"/>
  <c r="Q39" s="1"/>
  <c r="Q18"/>
  <c r="Q40" s="1"/>
  <c r="Q26"/>
  <c r="Q48" s="1"/>
  <c r="J15"/>
  <c r="J37" s="1"/>
  <c r="J21"/>
  <c r="J43" s="1"/>
  <c r="J29"/>
  <c r="J51" s="1"/>
  <c r="J18"/>
  <c r="J40" s="1"/>
  <c r="J17"/>
  <c r="J39" s="1"/>
  <c r="J25"/>
  <c r="J47" s="1"/>
  <c r="J26"/>
  <c r="J16"/>
  <c r="J38" s="1"/>
  <c r="J24"/>
  <c r="K17"/>
  <c r="K39" s="1"/>
  <c r="K25"/>
  <c r="K47" s="1"/>
  <c r="K16"/>
  <c r="K38" s="1"/>
  <c r="K24"/>
  <c r="K46" s="1"/>
  <c r="K15"/>
  <c r="K37" s="1"/>
  <c r="K21"/>
  <c r="K43" s="1"/>
  <c r="K29"/>
  <c r="K51" s="1"/>
  <c r="K18"/>
  <c r="K40" s="1"/>
  <c r="K26"/>
  <c r="K48" s="1"/>
  <c r="I47"/>
  <c r="R24" i="34"/>
  <c r="Q36" l="1"/>
  <c r="Q29"/>
  <c r="R18"/>
  <c r="P29"/>
  <c r="R10"/>
  <c r="O26"/>
  <c r="O36"/>
  <c r="M6" i="32"/>
  <c r="M43" s="1"/>
  <c r="D51" i="40"/>
  <c r="R19" i="34"/>
  <c r="M37" i="40"/>
  <c r="M44" s="1"/>
  <c r="M52" s="1"/>
  <c r="R21" i="34"/>
  <c r="R16"/>
  <c r="R25"/>
  <c r="R12"/>
  <c r="F46" i="40"/>
  <c r="R30" i="34"/>
  <c r="S60" i="40"/>
  <c r="R9" i="34"/>
  <c r="R27"/>
  <c r="F51" i="40"/>
  <c r="J6" i="32"/>
  <c r="J43" s="1"/>
  <c r="G6"/>
  <c r="G43" s="1"/>
  <c r="D47" i="40"/>
  <c r="F48"/>
  <c r="D46"/>
  <c r="F39"/>
  <c r="R13" i="34"/>
  <c r="N48" i="40"/>
  <c r="N49" s="1"/>
  <c r="R26" i="34"/>
  <c r="S63" i="40"/>
  <c r="F43"/>
  <c r="J46"/>
  <c r="R20" i="34"/>
  <c r="O48" i="40"/>
  <c r="E51"/>
  <c r="R39" i="34"/>
  <c r="R29"/>
  <c r="D40" i="40"/>
  <c r="E38"/>
  <c r="I51"/>
  <c r="F6" i="32"/>
  <c r="F43" s="1"/>
  <c r="R17" i="34"/>
  <c r="E43" i="40"/>
  <c r="E44" s="1"/>
  <c r="S70"/>
  <c r="S69"/>
  <c r="F38"/>
  <c r="S74"/>
  <c r="F47"/>
  <c r="R14" i="34"/>
  <c r="R11"/>
  <c r="O6" i="32"/>
  <c r="O43" s="1"/>
  <c r="P21" i="40"/>
  <c r="P43" s="1"/>
  <c r="P17"/>
  <c r="P39" s="1"/>
  <c r="P15"/>
  <c r="P37" s="1"/>
  <c r="P26"/>
  <c r="P48" s="1"/>
  <c r="P24"/>
  <c r="P46" s="1"/>
  <c r="P18"/>
  <c r="P40" s="1"/>
  <c r="P16"/>
  <c r="P38" s="1"/>
  <c r="P29"/>
  <c r="P51" s="1"/>
  <c r="P25"/>
  <c r="P47" s="1"/>
  <c r="R25"/>
  <c r="R47" s="1"/>
  <c r="R26"/>
  <c r="R48" s="1"/>
  <c r="R18"/>
  <c r="R40" s="1"/>
  <c r="R29"/>
  <c r="R51" s="1"/>
  <c r="R15"/>
  <c r="R37" s="1"/>
  <c r="R17"/>
  <c r="R39" s="1"/>
  <c r="R21"/>
  <c r="R43" s="1"/>
  <c r="R24"/>
  <c r="R46" s="1"/>
  <c r="R16"/>
  <c r="R38" s="1"/>
  <c r="H26"/>
  <c r="H48" s="1"/>
  <c r="H17"/>
  <c r="H39" s="1"/>
  <c r="H29"/>
  <c r="H51" s="1"/>
  <c r="H15"/>
  <c r="H37" s="1"/>
  <c r="H18"/>
  <c r="H40" s="1"/>
  <c r="H16"/>
  <c r="H38" s="1"/>
  <c r="H25"/>
  <c r="H47" s="1"/>
  <c r="H21"/>
  <c r="H43" s="1"/>
  <c r="H24"/>
  <c r="H46" s="1"/>
  <c r="G17"/>
  <c r="G39" s="1"/>
  <c r="G26"/>
  <c r="G48" s="1"/>
  <c r="G16"/>
  <c r="G38" s="1"/>
  <c r="G21"/>
  <c r="G43" s="1"/>
  <c r="G15"/>
  <c r="G37" s="1"/>
  <c r="G24"/>
  <c r="G46" s="1"/>
  <c r="G18"/>
  <c r="G40" s="1"/>
  <c r="G25"/>
  <c r="G47" s="1"/>
  <c r="G29"/>
  <c r="G51" s="1"/>
  <c r="K44"/>
  <c r="O44"/>
  <c r="L49"/>
  <c r="O49"/>
  <c r="I48"/>
  <c r="I49" s="1"/>
  <c r="E49"/>
  <c r="C115"/>
  <c r="S140" s="1"/>
  <c r="Q44"/>
  <c r="N44"/>
  <c r="R36" i="34"/>
  <c r="K49" i="40"/>
  <c r="J44"/>
  <c r="Q49"/>
  <c r="I6" i="32"/>
  <c r="I43" s="1"/>
  <c r="I44" i="40"/>
  <c r="R35" i="34"/>
  <c r="F49" i="40" l="1"/>
  <c r="E52"/>
  <c r="F44"/>
  <c r="H6" i="32"/>
  <c r="H43" s="1"/>
  <c r="J48" i="40"/>
  <c r="J49" s="1"/>
  <c r="J52" s="1"/>
  <c r="L39"/>
  <c r="L44" s="1"/>
  <c r="L52" s="1"/>
  <c r="S46"/>
  <c r="L69" s="1"/>
  <c r="L131" s="1"/>
  <c r="S40"/>
  <c r="M63" s="1"/>
  <c r="M125" s="1"/>
  <c r="S47"/>
  <c r="Q70" s="1"/>
  <c r="Q132" s="1"/>
  <c r="S51"/>
  <c r="G74" s="1"/>
  <c r="G136" s="1"/>
  <c r="F52"/>
  <c r="H44"/>
  <c r="G44"/>
  <c r="S37"/>
  <c r="I60" s="1"/>
  <c r="I122" s="1"/>
  <c r="P49"/>
  <c r="R49"/>
  <c r="K52"/>
  <c r="R44"/>
  <c r="P44"/>
  <c r="P52" s="1"/>
  <c r="N52"/>
  <c r="H49"/>
  <c r="Q52"/>
  <c r="I52"/>
  <c r="O52"/>
  <c r="G49"/>
  <c r="K70" l="1"/>
  <c r="K132" s="1"/>
  <c r="H70"/>
  <c r="H132" s="1"/>
  <c r="E74"/>
  <c r="E136" s="1"/>
  <c r="M74"/>
  <c r="M136" s="1"/>
  <c r="Q69"/>
  <c r="Q131" s="1"/>
  <c r="N74"/>
  <c r="N136" s="1"/>
  <c r="H74"/>
  <c r="H136" s="1"/>
  <c r="K74"/>
  <c r="K136" s="1"/>
  <c r="H69"/>
  <c r="H131" s="1"/>
  <c r="L74"/>
  <c r="L136" s="1"/>
  <c r="F74"/>
  <c r="F136" s="1"/>
  <c r="D63"/>
  <c r="D125" s="1"/>
  <c r="J74"/>
  <c r="J136" s="1"/>
  <c r="D74"/>
  <c r="D136" s="1"/>
  <c r="R74"/>
  <c r="R136" s="1"/>
  <c r="N60"/>
  <c r="N122" s="1"/>
  <c r="Q74"/>
  <c r="Q136" s="1"/>
  <c r="P74"/>
  <c r="P136" s="1"/>
  <c r="P69"/>
  <c r="P131" s="1"/>
  <c r="I69"/>
  <c r="I131" s="1"/>
  <c r="G69"/>
  <c r="G131" s="1"/>
  <c r="H52"/>
  <c r="E63"/>
  <c r="E125" s="1"/>
  <c r="M70"/>
  <c r="M132" s="1"/>
  <c r="H63"/>
  <c r="H125" s="1"/>
  <c r="G63"/>
  <c r="G125" s="1"/>
  <c r="J63"/>
  <c r="J125" s="1"/>
  <c r="L63"/>
  <c r="L125" s="1"/>
  <c r="I63"/>
  <c r="I125" s="1"/>
  <c r="R63"/>
  <c r="R125" s="1"/>
  <c r="P70"/>
  <c r="P132" s="1"/>
  <c r="L70"/>
  <c r="L132" s="1"/>
  <c r="E70"/>
  <c r="E132" s="1"/>
  <c r="I70"/>
  <c r="I132" s="1"/>
  <c r="P63"/>
  <c r="P125" s="1"/>
  <c r="K63"/>
  <c r="K125" s="1"/>
  <c r="J70"/>
  <c r="J132" s="1"/>
  <c r="F70"/>
  <c r="F132" s="1"/>
  <c r="R70"/>
  <c r="R132" s="1"/>
  <c r="N63"/>
  <c r="N125" s="1"/>
  <c r="O70"/>
  <c r="O132" s="1"/>
  <c r="D70"/>
  <c r="D132" s="1"/>
  <c r="N70"/>
  <c r="N132" s="1"/>
  <c r="Q63"/>
  <c r="Q125" s="1"/>
  <c r="O63"/>
  <c r="O125" s="1"/>
  <c r="F63"/>
  <c r="F125" s="1"/>
  <c r="G70"/>
  <c r="G132" s="1"/>
  <c r="I74"/>
  <c r="I136" s="1"/>
  <c r="D38"/>
  <c r="S62"/>
  <c r="D39"/>
  <c r="K69"/>
  <c r="K131" s="1"/>
  <c r="F69"/>
  <c r="F131" s="1"/>
  <c r="M69"/>
  <c r="M131" s="1"/>
  <c r="E69"/>
  <c r="E131" s="1"/>
  <c r="N69"/>
  <c r="N131" s="1"/>
  <c r="J69"/>
  <c r="J131" s="1"/>
  <c r="O69"/>
  <c r="O131" s="1"/>
  <c r="R69"/>
  <c r="R131" s="1"/>
  <c r="D69"/>
  <c r="D131" s="1"/>
  <c r="R52"/>
  <c r="O74"/>
  <c r="O136" s="1"/>
  <c r="M60"/>
  <c r="H60"/>
  <c r="R60"/>
  <c r="R122" s="1"/>
  <c r="G52"/>
  <c r="G60"/>
  <c r="G122" s="1"/>
  <c r="D60"/>
  <c r="D122" s="1"/>
  <c r="Q60"/>
  <c r="F60"/>
  <c r="J60"/>
  <c r="J122" s="1"/>
  <c r="L60"/>
  <c r="K60"/>
  <c r="K122" s="1"/>
  <c r="P60"/>
  <c r="E60"/>
  <c r="E122" s="1"/>
  <c r="O60"/>
  <c r="O122" s="1"/>
  <c r="S136" l="1"/>
  <c r="S125"/>
  <c r="S132"/>
  <c r="S38"/>
  <c r="S39"/>
  <c r="D62" s="1"/>
  <c r="D124" s="1"/>
  <c r="S61"/>
  <c r="D43"/>
  <c r="D44" s="1"/>
  <c r="S66"/>
  <c r="M122"/>
  <c r="H122"/>
  <c r="F122"/>
  <c r="Q122"/>
  <c r="P122"/>
  <c r="L122"/>
  <c r="S131"/>
  <c r="K61" l="1"/>
  <c r="G61"/>
  <c r="Q61"/>
  <c r="F61"/>
  <c r="M61"/>
  <c r="P61"/>
  <c r="H61"/>
  <c r="J61"/>
  <c r="E61"/>
  <c r="R61"/>
  <c r="N61"/>
  <c r="I61"/>
  <c r="L61"/>
  <c r="O61"/>
  <c r="D61"/>
  <c r="S67"/>
  <c r="S43"/>
  <c r="I62"/>
  <c r="I124" s="1"/>
  <c r="L62"/>
  <c r="L124" s="1"/>
  <c r="H62"/>
  <c r="H124" s="1"/>
  <c r="O62"/>
  <c r="O124" s="1"/>
  <c r="E62"/>
  <c r="E124" s="1"/>
  <c r="F62"/>
  <c r="F124" s="1"/>
  <c r="G62"/>
  <c r="G124" s="1"/>
  <c r="R62"/>
  <c r="R124" s="1"/>
  <c r="J62"/>
  <c r="J124" s="1"/>
  <c r="Q62"/>
  <c r="Q124" s="1"/>
  <c r="P62"/>
  <c r="P124" s="1"/>
  <c r="M62"/>
  <c r="M124" s="1"/>
  <c r="N62"/>
  <c r="N124" s="1"/>
  <c r="K62"/>
  <c r="K124" s="1"/>
  <c r="S122"/>
  <c r="D123" l="1"/>
  <c r="J123"/>
  <c r="F123"/>
  <c r="S124"/>
  <c r="O123"/>
  <c r="R123"/>
  <c r="H123"/>
  <c r="Q123"/>
  <c r="L123"/>
  <c r="I66"/>
  <c r="I128" s="1"/>
  <c r="M66"/>
  <c r="M128" s="1"/>
  <c r="P66"/>
  <c r="P128" s="1"/>
  <c r="E66"/>
  <c r="E128" s="1"/>
  <c r="K66"/>
  <c r="K128" s="1"/>
  <c r="Q66"/>
  <c r="Q128" s="1"/>
  <c r="N66"/>
  <c r="N128" s="1"/>
  <c r="J66"/>
  <c r="J128" s="1"/>
  <c r="F66"/>
  <c r="F128" s="1"/>
  <c r="L66"/>
  <c r="L128" s="1"/>
  <c r="R66"/>
  <c r="R128" s="1"/>
  <c r="G66"/>
  <c r="G128" s="1"/>
  <c r="H66"/>
  <c r="H128" s="1"/>
  <c r="O66"/>
  <c r="O128" s="1"/>
  <c r="S44"/>
  <c r="P123"/>
  <c r="G123"/>
  <c r="D66"/>
  <c r="D128" s="1"/>
  <c r="I123"/>
  <c r="E123"/>
  <c r="M123"/>
  <c r="K123"/>
  <c r="N123"/>
  <c r="G129" l="1"/>
  <c r="P67"/>
  <c r="K129"/>
  <c r="E129"/>
  <c r="I129"/>
  <c r="M129"/>
  <c r="M67"/>
  <c r="Q129"/>
  <c r="E67"/>
  <c r="G67"/>
  <c r="N129"/>
  <c r="J129"/>
  <c r="L129"/>
  <c r="O129"/>
  <c r="K67"/>
  <c r="S128"/>
  <c r="P129"/>
  <c r="Q67"/>
  <c r="R67"/>
  <c r="J67"/>
  <c r="R129"/>
  <c r="N67"/>
  <c r="I67"/>
  <c r="L67"/>
  <c r="H67"/>
  <c r="O67"/>
  <c r="F67"/>
  <c r="D67"/>
  <c r="H129"/>
  <c r="F129"/>
  <c r="S123"/>
  <c r="D129"/>
  <c r="S129" l="1"/>
  <c r="D48" l="1"/>
  <c r="D49" l="1"/>
  <c r="D52" s="1"/>
  <c r="S48"/>
  <c r="S71"/>
  <c r="S72" s="1"/>
  <c r="S75" s="1"/>
  <c r="D71" l="1"/>
  <c r="D133" s="1"/>
  <c r="H71"/>
  <c r="L71"/>
  <c r="O71"/>
  <c r="N71"/>
  <c r="I71"/>
  <c r="R71"/>
  <c r="G71"/>
  <c r="M71"/>
  <c r="K71"/>
  <c r="Q71"/>
  <c r="S49"/>
  <c r="S52" s="1"/>
  <c r="P71"/>
  <c r="F71"/>
  <c r="E71"/>
  <c r="J71"/>
  <c r="D72"/>
  <c r="D75" s="1"/>
  <c r="D76" s="1"/>
  <c r="S76"/>
  <c r="N133" l="1"/>
  <c r="N134" s="1"/>
  <c r="N141" s="1"/>
  <c r="N142" s="1"/>
  <c r="N72"/>
  <c r="N75" s="1"/>
  <c r="N76" s="1"/>
  <c r="J133"/>
  <c r="J134" s="1"/>
  <c r="J141" s="1"/>
  <c r="J142" s="1"/>
  <c r="J72"/>
  <c r="J75" s="1"/>
  <c r="J76" s="1"/>
  <c r="G133"/>
  <c r="G134" s="1"/>
  <c r="G141" s="1"/>
  <c r="G142" s="1"/>
  <c r="G72"/>
  <c r="G75" s="1"/>
  <c r="G76" s="1"/>
  <c r="O133"/>
  <c r="O134" s="1"/>
  <c r="O141" s="1"/>
  <c r="O142" s="1"/>
  <c r="O72"/>
  <c r="O75" s="1"/>
  <c r="O76" s="1"/>
  <c r="D134"/>
  <c r="D141" s="1"/>
  <c r="D142" s="1"/>
  <c r="M133"/>
  <c r="M134" s="1"/>
  <c r="M141" s="1"/>
  <c r="M142" s="1"/>
  <c r="M72"/>
  <c r="M75" s="1"/>
  <c r="M76" s="1"/>
  <c r="E133"/>
  <c r="E134" s="1"/>
  <c r="E141" s="1"/>
  <c r="E142" s="1"/>
  <c r="E72"/>
  <c r="E75" s="1"/>
  <c r="E76" s="1"/>
  <c r="Q133"/>
  <c r="Q134" s="1"/>
  <c r="Q141" s="1"/>
  <c r="Q142" s="1"/>
  <c r="Q72"/>
  <c r="Q75" s="1"/>
  <c r="Q76" s="1"/>
  <c r="R133"/>
  <c r="R134" s="1"/>
  <c r="R141" s="1"/>
  <c r="R142" s="1"/>
  <c r="R72"/>
  <c r="R75" s="1"/>
  <c r="R76" s="1"/>
  <c r="L133"/>
  <c r="L134" s="1"/>
  <c r="L141" s="1"/>
  <c r="L142" s="1"/>
  <c r="L72"/>
  <c r="L75" s="1"/>
  <c r="L76" s="1"/>
  <c r="P133"/>
  <c r="P134" s="1"/>
  <c r="P141" s="1"/>
  <c r="P142" s="1"/>
  <c r="P72"/>
  <c r="P75" s="1"/>
  <c r="P76" s="1"/>
  <c r="F133"/>
  <c r="F134" s="1"/>
  <c r="F141" s="1"/>
  <c r="F142" s="1"/>
  <c r="F72"/>
  <c r="F75" s="1"/>
  <c r="F76" s="1"/>
  <c r="K133"/>
  <c r="K134" s="1"/>
  <c r="K141" s="1"/>
  <c r="K142" s="1"/>
  <c r="K72"/>
  <c r="K75" s="1"/>
  <c r="K76" s="1"/>
  <c r="I133"/>
  <c r="I134" s="1"/>
  <c r="I141" s="1"/>
  <c r="I142" s="1"/>
  <c r="I72"/>
  <c r="I75" s="1"/>
  <c r="I76" s="1"/>
  <c r="H133"/>
  <c r="H134" s="1"/>
  <c r="H141" s="1"/>
  <c r="H142" s="1"/>
  <c r="H72"/>
  <c r="H75" s="1"/>
  <c r="H76" s="1"/>
  <c r="S133" l="1"/>
  <c r="S134" s="1"/>
  <c r="S141" s="1"/>
  <c r="S142" s="1"/>
</calcChain>
</file>

<file path=xl/comments1.xml><?xml version="1.0" encoding="utf-8"?>
<comments xmlns="http://schemas.openxmlformats.org/spreadsheetml/2006/main">
  <authors>
    <author>Tomasz Pawelec</author>
  </authors>
  <commentList>
    <comment ref="S31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tylko rozproszone źródła - bez energetyki wodnej oraz bez współspalania (Kogeneracja)</t>
        </r>
      </text>
    </comment>
  </commentList>
</comments>
</file>

<file path=xl/sharedStrings.xml><?xml version="1.0" encoding="utf-8"?>
<sst xmlns="http://schemas.openxmlformats.org/spreadsheetml/2006/main" count="1369" uniqueCount="355">
  <si>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</si>
  <si>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</si>
  <si>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</si>
  <si>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</si>
  <si>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</si>
  <si>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</si>
  <si>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</si>
  <si>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</si>
  <si>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</si>
  <si>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</si>
  <si>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</si>
  <si>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</si>
  <si>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</si>
  <si>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</si>
  <si>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</si>
  <si>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</si>
  <si>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</si>
  <si>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</si>
  <si>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</si>
  <si>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</si>
  <si>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</si>
  <si>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</si>
  <si>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</si>
  <si>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</si>
  <si>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</si>
  <si>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</si>
  <si>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</si>
  <si>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</si>
  <si>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</si>
  <si>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</si>
  <si>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</si>
  <si>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</si>
  <si>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</si>
  <si>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</si>
  <si>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</si>
  <si>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</si>
  <si>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</si>
  <si>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</si>
  <si>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</si>
  <si>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</si>
  <si>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</si>
  <si>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</si>
  <si>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</si>
  <si>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</si>
  <si>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</si>
  <si>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</si>
  <si>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</si>
  <si>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</si>
  <si>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</si>
  <si>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</si>
  <si>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</si>
  <si>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</si>
  <si>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</si>
  <si>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</si>
  <si>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</si>
  <si>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</si>
  <si>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</si>
  <si>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</si>
  <si>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</si>
  <si>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</si>
  <si>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</si>
  <si>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</si>
  <si>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</si>
  <si>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</si>
  <si>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</si>
  <si>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</si>
  <si>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</si>
  <si>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</si>
  <si>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</si>
  <si>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</si>
  <si>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</si>
  <si>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</si>
  <si>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</si>
  <si>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</si>
  <si>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</si>
  <si>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</si>
  <si>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</si>
  <si>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</si>
  <si>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</si>
  <si>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</si>
  <si>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</si>
  <si>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</si>
  <si>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</si>
  <si>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</si>
  <si>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</si>
  <si>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</si>
  <si>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</si>
  <si>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</si>
  <si>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</si>
  <si>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</si>
  <si>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</si>
  <si>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</si>
  <si>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</si>
  <si>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</si>
  <si>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</si>
  <si>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</si>
  <si>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</si>
  <si>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</si>
  <si>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</si>
  <si>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</si>
  <si>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</si>
  <si>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</si>
  <si>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</si>
  <si>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</si>
  <si>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</si>
  <si>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</si>
  <si>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</si>
  <si>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</si>
  <si>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</si>
  <si>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</si>
  <si>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</si>
  <si>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</si>
  <si>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</si>
  <si>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</si>
  <si>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</si>
  <si>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</si>
  <si>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</si>
  <si>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</si>
  <si>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</si>
  <si>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</si>
  <si>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</si>
  <si>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</si>
  <si>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</si>
  <si>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</si>
  <si>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</si>
  <si>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</si>
  <si>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</si>
  <si>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</si>
  <si>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</si>
  <si>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</si>
  <si>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</si>
  <si>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</si>
  <si>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</si>
  <si>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</si>
  <si>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</si>
  <si>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</si>
  <si>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</si>
  <si>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</si>
  <si>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</si>
  <si>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</si>
  <si>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</si>
  <si>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</si>
  <si>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</si>
  <si>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</si>
  <si>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</si>
  <si>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</si>
  <si>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</si>
  <si>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</si>
  <si>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</si>
  <si>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</si>
  <si>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</si>
  <si>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</si>
  <si>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</si>
  <si>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</si>
  <si>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</si>
  <si>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</si>
  <si>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</si>
  <si>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</si>
  <si>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</si>
  <si>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</si>
  <si>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</si>
  <si>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</si>
  <si>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</si>
  <si>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</si>
  <si>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</si>
  <si>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</si>
  <si>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</si>
  <si>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</si>
  <si>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</si>
  <si>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</si>
  <si>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</si>
  <si>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</si>
  <si>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</si>
  <si>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</si>
  <si>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</si>
  <si>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</si>
  <si>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</si>
  <si>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</si>
  <si>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</si>
  <si>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</si>
  <si>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</si>
  <si>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</si>
  <si>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</si>
  <si>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</si>
  <si>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</si>
  <si>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</si>
  <si>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</si>
  <si>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</si>
  <si>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</si>
  <si>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</si>
  <si>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</si>
  <si>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</si>
  <si>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</si>
  <si>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</si>
  <si>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</si>
  <si>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</si>
  <si>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</si>
  <si>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</si>
  <si>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</si>
  <si>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</si>
  <si>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</si>
  <si>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</si>
  <si>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</si>
  <si>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</si>
  <si>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</si>
  <si>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</si>
  <si>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</si>
  <si>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</si>
  <si>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</si>
  <si>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</si>
  <si>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</si>
  <si>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</si>
  <si>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</si>
  <si>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</si>
  <si>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</si>
  <si>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</si>
  <si>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</si>
  <si>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</si>
  <si>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</si>
  <si>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</si>
  <si>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</si>
  <si>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</si>
  <si>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</si>
  <si>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</si>
  <si>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</si>
  <si>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</si>
  <si>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</si>
  <si>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</si>
  <si>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</si>
  <si>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</si>
  <si>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</si>
  <si>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</si>
  <si>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</si>
  <si>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</si>
  <si>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</si>
  <si>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</si>
  <si>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</si>
  <si>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</si>
  <si>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</si>
  <si>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</si>
  <si>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</si>
  <si>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</si>
  <si>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</si>
  <si>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</si>
  <si>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</si>
  <si>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</si>
  <si>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</si>
  <si>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</si>
  <si>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</si>
  <si>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</si>
  <si>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</si>
  <si>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</si>
  <si>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</si>
  <si>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</si>
  <si>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</si>
  <si>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</si>
  <si>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</si>
  <si>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</si>
  <si>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</si>
  <si>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</si>
  <si>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</si>
  <si>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</si>
  <si>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</si>
  <si>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</si>
  <si>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</si>
  <si>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</si>
  <si>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</si>
  <si>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</si>
  <si>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</si>
  <si>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</si>
  <si>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</si>
  <si>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</si>
  <si>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</si>
  <si>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</si>
  <si>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</si>
  <si>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</si>
  <si>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</si>
  <si>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</si>
  <si>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</si>
  <si>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</si>
  <si>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</si>
  <si>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</si>
  <si>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</si>
  <si>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</si>
  <si>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</si>
  <si>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</si>
  <si>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</si>
  <si>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</si>
  <si>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</si>
  <si>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</si>
  <si>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</si>
  <si>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</si>
  <si>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</si>
  <si>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</si>
  <si>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</si>
  <si>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</si>
  <si>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</si>
  <si>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</si>
  <si>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</si>
  <si>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</si>
  <si>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</si>
  <si>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</si>
  <si>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</si>
  <si>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</si>
  <si>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</si>
  <si>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</si>
  <si>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</si>
  <si>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</si>
  <si>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</si>
  <si>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</si>
  <si>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</si>
  <si>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</si>
  <si>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</si>
  <si>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</si>
  <si>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</si>
  <si>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</si>
  <si>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</si>
  <si>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</si>
  <si>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</si>
  <si>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</si>
  <si>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</si>
  <si>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</si>
  <si>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</si>
  <si>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</si>
  <si>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</si>
  <si>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</si>
  <si>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</si>
  <si>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</si>
  <si>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</si>
  <si>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NE</t>
  </si>
  <si>
    <t>IE</t>
  </si>
  <si>
    <t>dodana suma dla cdp</t>
  </si>
  <si>
    <t>przygotowanie arkusza 2014, dodanie pomocniczych kalkulatorów</t>
  </si>
  <si>
    <t>wzrost[%]</t>
  </si>
  <si>
    <t>LICZBA ZAREJESTROWANYCH POJAZDÓW 2013</t>
  </si>
  <si>
    <t>PROCENTOWA ZMIANA ILOŚCI 2014/2013</t>
  </si>
  <si>
    <t>LICZBA ZAREJESTROWANYCH POJAZDÓW 2014</t>
  </si>
  <si>
    <t>Korekta procentowa ilości pojazdów wg danych WSO - Dział Rejestracji Pojazdów</t>
  </si>
  <si>
    <t>zmiana do bazowego</t>
  </si>
  <si>
    <t>udział OZE</t>
  </si>
  <si>
    <t>Transport lotniczy</t>
  </si>
  <si>
    <t>System dystrybucji gazu</t>
  </si>
  <si>
    <t>Paliwo lotnicze</t>
  </si>
  <si>
    <t>Podsumowanie emisji w układzie SEAP nie uwzględnia emisji:</t>
  </si>
  <si>
    <t>a) z transportu lotniczego (GPC II.4)</t>
  </si>
  <si>
    <t>b) z systemu dystrybucji gazu ziemnego (GPC I.8)</t>
  </si>
  <si>
    <t>Różnica pomiędzy SUM_SEAP a SUM_PGN i SUM_CDP</t>
  </si>
  <si>
    <t>Redukcja emisji w stosunku do roku bazowego</t>
  </si>
  <si>
    <t>Zakres 1</t>
  </si>
  <si>
    <t>Zakres 2</t>
  </si>
  <si>
    <t>Zakres 3</t>
  </si>
  <si>
    <t>Procesy przemysłowe i użytkowanie produktów</t>
  </si>
  <si>
    <t>Rolnicwo, leśnictwo i użytkowanie ziemi</t>
  </si>
  <si>
    <t>Poziom raportowania BASIC</t>
  </si>
  <si>
    <t>Podsumowanie inwantaryzacji 2014</t>
  </si>
</sst>
</file>

<file path=xl/styles.xml><?xml version="1.0" encoding="utf-8"?>
<styleSheet xmlns="http://schemas.openxmlformats.org/spreadsheetml/2006/main">
  <numFmts count="8">
    <numFmt numFmtId="43" formatCode="_-* #,##0.00\ _z_ł_-;\-* #,##0.00\ _z_ł_-;_-* &quot;-&quot;??\ _z_ł_-;_-@_-"/>
    <numFmt numFmtId="164" formatCode="_-* #,##0\ _z_ł_-;\-* #,##0\ _z_ł_-;_-* &quot;-&quot;??\ _z_ł_-;_-@_-"/>
    <numFmt numFmtId="165" formatCode="0.0%"/>
    <numFmt numFmtId="166" formatCode="#,##0.0000"/>
    <numFmt numFmtId="167" formatCode="#,##0.000000"/>
    <numFmt numFmtId="168" formatCode="#,##0.0000000"/>
    <numFmt numFmtId="169" formatCode="#,##0.00000000"/>
    <numFmt numFmtId="170" formatCode="0.000%"/>
  </numFmts>
  <fonts count="50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C32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4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" fontId="6" fillId="0" borderId="0"/>
    <xf numFmtId="0" fontId="19" fillId="0" borderId="0"/>
    <xf numFmtId="0" fontId="20" fillId="0" borderId="0"/>
    <xf numFmtId="9" fontId="18" fillId="0" borderId="0" applyFont="0" applyFill="0" applyBorder="0" applyAlignment="0" applyProtection="0"/>
    <xf numFmtId="0" fontId="49" fillId="0" borderId="0"/>
  </cellStyleXfs>
  <cellXfs count="591">
    <xf numFmtId="0" fontId="0" fillId="0" borderId="0" xfId="0"/>
    <xf numFmtId="0" fontId="21" fillId="2" borderId="0" xfId="0" applyFont="1" applyFill="1" applyBorder="1"/>
    <xf numFmtId="0" fontId="21" fillId="2" borderId="0" xfId="0" applyFont="1" applyFill="1"/>
    <xf numFmtId="0" fontId="0" fillId="2" borderId="0" xfId="0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1" fillId="2" borderId="1" xfId="0" applyFont="1" applyFill="1" applyBorder="1"/>
    <xf numFmtId="0" fontId="21" fillId="2" borderId="2" xfId="0" applyFont="1" applyFill="1" applyBorder="1"/>
    <xf numFmtId="0" fontId="21" fillId="2" borderId="3" xfId="0" applyFont="1" applyFill="1" applyBorder="1"/>
    <xf numFmtId="0" fontId="21" fillId="2" borderId="62" xfId="0" applyFont="1" applyFill="1" applyBorder="1"/>
    <xf numFmtId="0" fontId="21" fillId="2" borderId="63" xfId="0" applyFont="1" applyFill="1" applyBorder="1"/>
    <xf numFmtId="0" fontId="23" fillId="2" borderId="0" xfId="0" applyFont="1" applyFill="1" applyBorder="1"/>
    <xf numFmtId="0" fontId="21" fillId="2" borderId="0" xfId="0" applyFont="1" applyFill="1" applyAlignment="1">
      <alignment wrapText="1"/>
    </xf>
    <xf numFmtId="0" fontId="21" fillId="2" borderId="64" xfId="0" applyFont="1" applyFill="1" applyBorder="1"/>
    <xf numFmtId="0" fontId="21" fillId="3" borderId="4" xfId="0" applyFont="1" applyFill="1" applyBorder="1"/>
    <xf numFmtId="0" fontId="23" fillId="3" borderId="5" xfId="0" applyFont="1" applyFill="1" applyBorder="1"/>
    <xf numFmtId="0" fontId="21" fillId="3" borderId="68" xfId="0" applyFont="1" applyFill="1" applyBorder="1"/>
    <xf numFmtId="0" fontId="23" fillId="2" borderId="62" xfId="0" applyFont="1" applyFill="1" applyBorder="1"/>
    <xf numFmtId="0" fontId="23" fillId="2" borderId="63" xfId="0" applyFont="1" applyFill="1" applyBorder="1"/>
    <xf numFmtId="0" fontId="21" fillId="2" borderId="72" xfId="0" applyFont="1" applyFill="1" applyBorder="1"/>
    <xf numFmtId="0" fontId="23" fillId="2" borderId="0" xfId="0" applyFont="1" applyFill="1" applyAlignment="1">
      <alignment vertical="center" wrapText="1"/>
    </xf>
    <xf numFmtId="0" fontId="25" fillId="4" borderId="6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25" fillId="4" borderId="8" xfId="0" applyFont="1" applyFill="1" applyBorder="1" applyAlignment="1">
      <alignment vertical="center" wrapText="1"/>
    </xf>
    <xf numFmtId="0" fontId="25" fillId="4" borderId="74" xfId="0" applyFont="1" applyFill="1" applyBorder="1" applyAlignment="1">
      <alignment horizontal="center" vertical="center" wrapText="1"/>
    </xf>
    <xf numFmtId="0" fontId="25" fillId="4" borderId="75" xfId="0" applyFont="1" applyFill="1" applyBorder="1" applyAlignment="1">
      <alignment horizontal="center" vertical="center" wrapText="1"/>
    </xf>
    <xf numFmtId="0" fontId="25" fillId="4" borderId="76" xfId="0" applyFont="1" applyFill="1" applyBorder="1" applyAlignment="1">
      <alignment horizontal="center" vertical="center" wrapText="1"/>
    </xf>
    <xf numFmtId="0" fontId="26" fillId="4" borderId="77" xfId="0" applyFont="1" applyFill="1" applyBorder="1" applyAlignment="1">
      <alignment horizontal="center" wrapText="1"/>
    </xf>
    <xf numFmtId="0" fontId="25" fillId="4" borderId="0" xfId="0" applyFont="1" applyFill="1" applyBorder="1" applyAlignment="1">
      <alignment wrapText="1"/>
    </xf>
    <xf numFmtId="0" fontId="26" fillId="4" borderId="78" xfId="0" applyFont="1" applyFill="1" applyBorder="1" applyAlignment="1">
      <alignment horizontal="center" wrapText="1"/>
    </xf>
    <xf numFmtId="164" fontId="27" fillId="3" borderId="69" xfId="1" applyNumberFormat="1" applyFont="1" applyFill="1" applyBorder="1"/>
    <xf numFmtId="164" fontId="27" fillId="3" borderId="70" xfId="1" applyNumberFormat="1" applyFont="1" applyFill="1" applyBorder="1"/>
    <xf numFmtId="164" fontId="27" fillId="2" borderId="0" xfId="1" applyNumberFormat="1" applyFont="1" applyFill="1"/>
    <xf numFmtId="164" fontId="27" fillId="3" borderId="71" xfId="1" applyNumberFormat="1" applyFont="1" applyFill="1" applyBorder="1"/>
    <xf numFmtId="164" fontId="27" fillId="2" borderId="64" xfId="1" applyNumberFormat="1" applyFont="1" applyFill="1" applyBorder="1"/>
    <xf numFmtId="164" fontId="27" fillId="2" borderId="65" xfId="1" applyNumberFormat="1" applyFont="1" applyFill="1" applyBorder="1"/>
    <xf numFmtId="164" fontId="27" fillId="2" borderId="72" xfId="1" applyNumberFormat="1" applyFont="1" applyFill="1" applyBorder="1"/>
    <xf numFmtId="164" fontId="27" fillId="2" borderId="66" xfId="1" applyNumberFormat="1" applyFont="1" applyFill="1" applyBorder="1"/>
    <xf numFmtId="164" fontId="27" fillId="2" borderId="67" xfId="1" applyNumberFormat="1" applyFont="1" applyFill="1" applyBorder="1"/>
    <xf numFmtId="164" fontId="27" fillId="2" borderId="73" xfId="1" applyNumberFormat="1" applyFont="1" applyFill="1" applyBorder="1"/>
    <xf numFmtId="164" fontId="27" fillId="3" borderId="64" xfId="1" applyNumberFormat="1" applyFont="1" applyFill="1" applyBorder="1"/>
    <xf numFmtId="164" fontId="27" fillId="3" borderId="65" xfId="1" applyNumberFormat="1" applyFont="1" applyFill="1" applyBorder="1"/>
    <xf numFmtId="164" fontId="27" fillId="3" borderId="72" xfId="1" applyNumberFormat="1" applyFont="1" applyFill="1" applyBorder="1"/>
    <xf numFmtId="0" fontId="0" fillId="2" borderId="0" xfId="0" applyFill="1" applyBorder="1"/>
    <xf numFmtId="164" fontId="21" fillId="2" borderId="0" xfId="0" applyNumberFormat="1" applyFont="1" applyFill="1"/>
    <xf numFmtId="164" fontId="27" fillId="2" borderId="0" xfId="0" applyNumberFormat="1" applyFont="1" applyFill="1"/>
    <xf numFmtId="164" fontId="23" fillId="5" borderId="9" xfId="0" applyNumberFormat="1" applyFont="1" applyFill="1" applyBorder="1"/>
    <xf numFmtId="0" fontId="25" fillId="4" borderId="10" xfId="0" applyFont="1" applyFill="1" applyBorder="1" applyAlignment="1">
      <alignment horizontal="center" vertical="center" wrapText="1"/>
    </xf>
    <xf numFmtId="0" fontId="23" fillId="2" borderId="6" xfId="0" applyFont="1" applyFill="1" applyBorder="1"/>
    <xf numFmtId="10" fontId="18" fillId="0" borderId="11" xfId="8" applyNumberFormat="1" applyFont="1" applyBorder="1"/>
    <xf numFmtId="164" fontId="24" fillId="0" borderId="6" xfId="0" applyNumberFormat="1" applyFont="1" applyBorder="1"/>
    <xf numFmtId="165" fontId="18" fillId="0" borderId="11" xfId="8" applyNumberFormat="1" applyFont="1" applyBorder="1"/>
    <xf numFmtId="165" fontId="18" fillId="0" borderId="14" xfId="8" applyNumberFormat="1" applyFont="1" applyBorder="1"/>
    <xf numFmtId="0" fontId="25" fillId="4" borderId="18" xfId="0" applyFont="1" applyFill="1" applyBorder="1" applyAlignment="1">
      <alignment horizontal="center" vertical="center" wrapText="1"/>
    </xf>
    <xf numFmtId="0" fontId="23" fillId="2" borderId="19" xfId="0" applyFont="1" applyFill="1" applyBorder="1"/>
    <xf numFmtId="0" fontId="23" fillId="2" borderId="21" xfId="0" applyFont="1" applyFill="1" applyBorder="1"/>
    <xf numFmtId="164" fontId="27" fillId="3" borderId="79" xfId="1" applyNumberFormat="1" applyFont="1" applyFill="1" applyBorder="1"/>
    <xf numFmtId="164" fontId="27" fillId="3" borderId="80" xfId="1" applyNumberFormat="1" applyFont="1" applyFill="1" applyBorder="1"/>
    <xf numFmtId="164" fontId="27" fillId="2" borderId="80" xfId="1" applyNumberFormat="1" applyFont="1" applyFill="1" applyBorder="1"/>
    <xf numFmtId="164" fontId="27" fillId="2" borderId="81" xfId="1" applyNumberFormat="1" applyFont="1" applyFill="1" applyBorder="1"/>
    <xf numFmtId="43" fontId="27" fillId="2" borderId="81" xfId="1" applyNumberFormat="1" applyFont="1" applyFill="1" applyBorder="1"/>
    <xf numFmtId="43" fontId="27" fillId="2" borderId="82" xfId="1" applyNumberFormat="1" applyFont="1" applyFill="1" applyBorder="1"/>
    <xf numFmtId="0" fontId="0" fillId="2" borderId="11" xfId="0" applyFill="1" applyBorder="1"/>
    <xf numFmtId="43" fontId="27" fillId="2" borderId="83" xfId="1" applyNumberFormat="1" applyFont="1" applyFill="1" applyBorder="1"/>
    <xf numFmtId="43" fontId="27" fillId="3" borderId="84" xfId="1" applyNumberFormat="1" applyFont="1" applyFill="1" applyBorder="1"/>
    <xf numFmtId="43" fontId="27" fillId="3" borderId="85" xfId="1" applyNumberFormat="1" applyFont="1" applyFill="1" applyBorder="1"/>
    <xf numFmtId="43" fontId="27" fillId="3" borderId="83" xfId="1" applyNumberFormat="1" applyFont="1" applyFill="1" applyBorder="1"/>
    <xf numFmtId="43" fontId="27" fillId="3" borderId="86" xfId="1" applyNumberFormat="1" applyFont="1" applyFill="1" applyBorder="1"/>
    <xf numFmtId="43" fontId="27" fillId="2" borderId="86" xfId="1" applyNumberFormat="1" applyFont="1" applyFill="1" applyBorder="1"/>
    <xf numFmtId="43" fontId="27" fillId="2" borderId="87" xfId="1" applyNumberFormat="1" applyFont="1" applyFill="1" applyBorder="1"/>
    <xf numFmtId="0" fontId="0" fillId="0" borderId="0" xfId="0"/>
    <xf numFmtId="164" fontId="27" fillId="0" borderId="80" xfId="1" applyNumberFormat="1" applyFont="1" applyFill="1" applyBorder="1"/>
    <xf numFmtId="43" fontId="27" fillId="0" borderId="83" xfId="1" applyNumberFormat="1" applyFont="1" applyFill="1" applyBorder="1"/>
    <xf numFmtId="43" fontId="27" fillId="0" borderId="86" xfId="1" applyNumberFormat="1" applyFont="1" applyFill="1" applyBorder="1"/>
    <xf numFmtId="164" fontId="27" fillId="0" borderId="81" xfId="1" applyNumberFormat="1" applyFont="1" applyFill="1" applyBorder="1"/>
    <xf numFmtId="43" fontId="27" fillId="0" borderId="82" xfId="1" applyNumberFormat="1" applyFont="1" applyFill="1" applyBorder="1"/>
    <xf numFmtId="43" fontId="27" fillId="0" borderId="87" xfId="1" applyNumberFormat="1" applyFont="1" applyFill="1" applyBorder="1"/>
    <xf numFmtId="0" fontId="25" fillId="4" borderId="9" xfId="0" applyFont="1" applyFill="1" applyBorder="1" applyAlignment="1">
      <alignment horizontal="center" vertical="center" wrapText="1"/>
    </xf>
    <xf numFmtId="164" fontId="27" fillId="0" borderId="66" xfId="1" applyNumberFormat="1" applyFont="1" applyFill="1" applyBorder="1"/>
    <xf numFmtId="164" fontId="27" fillId="0" borderId="64" xfId="1" applyNumberFormat="1" applyFont="1" applyFill="1" applyBorder="1"/>
    <xf numFmtId="164" fontId="27" fillId="0" borderId="72" xfId="1" applyNumberFormat="1" applyFont="1" applyFill="1" applyBorder="1"/>
    <xf numFmtId="164" fontId="27" fillId="0" borderId="73" xfId="1" applyNumberFormat="1" applyFont="1" applyFill="1" applyBorder="1"/>
    <xf numFmtId="0" fontId="25" fillId="4" borderId="8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4" xfId="0" applyFont="1" applyFill="1" applyBorder="1"/>
    <xf numFmtId="10" fontId="18" fillId="0" borderId="7" xfId="8" applyNumberFormat="1" applyFont="1" applyBorder="1"/>
    <xf numFmtId="0" fontId="25" fillId="4" borderId="0" xfId="0" applyFont="1" applyFill="1" applyBorder="1" applyAlignment="1">
      <alignment horizontal="center" vertical="center" wrapText="1"/>
    </xf>
    <xf numFmtId="0" fontId="0" fillId="3" borderId="28" xfId="0" applyFill="1" applyBorder="1"/>
    <xf numFmtId="0" fontId="25" fillId="4" borderId="5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wrapText="1"/>
    </xf>
    <xf numFmtId="0" fontId="25" fillId="4" borderId="34" xfId="0" applyFont="1" applyFill="1" applyBorder="1" applyAlignment="1">
      <alignment horizontal="center" vertical="center" wrapText="1"/>
    </xf>
    <xf numFmtId="0" fontId="0" fillId="2" borderId="64" xfId="0" applyFill="1" applyBorder="1"/>
    <xf numFmtId="0" fontId="0" fillId="2" borderId="65" xfId="0" applyFill="1" applyBorder="1"/>
    <xf numFmtId="0" fontId="0" fillId="2" borderId="72" xfId="0" applyFill="1" applyBorder="1"/>
    <xf numFmtId="0" fontId="0" fillId="2" borderId="66" xfId="0" applyFill="1" applyBorder="1"/>
    <xf numFmtId="0" fontId="0" fillId="2" borderId="67" xfId="0" applyFill="1" applyBorder="1"/>
    <xf numFmtId="0" fontId="23" fillId="3" borderId="64" xfId="0" applyFont="1" applyFill="1" applyBorder="1"/>
    <xf numFmtId="0" fontId="21" fillId="3" borderId="64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89" xfId="0" applyFill="1" applyBorder="1"/>
    <xf numFmtId="0" fontId="0" fillId="2" borderId="89" xfId="0" applyFill="1" applyBorder="1"/>
    <xf numFmtId="0" fontId="0" fillId="2" borderId="90" xfId="0" applyFill="1" applyBorder="1"/>
    <xf numFmtId="0" fontId="25" fillId="4" borderId="1" xfId="0" applyFont="1" applyFill="1" applyBorder="1" applyAlignment="1">
      <alignment horizontal="center" vertical="center" wrapText="1"/>
    </xf>
    <xf numFmtId="0" fontId="0" fillId="3" borderId="72" xfId="0" applyFill="1" applyBorder="1"/>
    <xf numFmtId="0" fontId="0" fillId="2" borderId="73" xfId="0" applyFill="1" applyBorder="1"/>
    <xf numFmtId="0" fontId="25" fillId="4" borderId="35" xfId="0" applyFont="1" applyFill="1" applyBorder="1" applyAlignment="1">
      <alignment horizontal="center" vertical="center" wrapText="1"/>
    </xf>
    <xf numFmtId="0" fontId="0" fillId="3" borderId="91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5" xfId="0" applyFill="1" applyBorder="1"/>
    <xf numFmtId="0" fontId="0" fillId="2" borderId="24" xfId="0" applyFill="1" applyBorder="1"/>
    <xf numFmtId="0" fontId="29" fillId="2" borderId="0" xfId="0" applyFont="1" applyFill="1"/>
    <xf numFmtId="0" fontId="0" fillId="2" borderId="2" xfId="0" applyFill="1" applyBorder="1"/>
    <xf numFmtId="0" fontId="0" fillId="2" borderId="16" xfId="0" applyFill="1" applyBorder="1"/>
    <xf numFmtId="0" fontId="0" fillId="2" borderId="39" xfId="0" applyFill="1" applyBorder="1"/>
    <xf numFmtId="0" fontId="26" fillId="4" borderId="99" xfId="0" applyFont="1" applyFill="1" applyBorder="1" applyAlignment="1">
      <alignment horizontal="center" wrapText="1"/>
    </xf>
    <xf numFmtId="0" fontId="26" fillId="4" borderId="34" xfId="0" applyFont="1" applyFill="1" applyBorder="1" applyAlignment="1">
      <alignment horizontal="center" wrapText="1"/>
    </xf>
    <xf numFmtId="0" fontId="25" fillId="4" borderId="45" xfId="0" applyFont="1" applyFill="1" applyBorder="1" applyAlignment="1">
      <alignment wrapText="1"/>
    </xf>
    <xf numFmtId="0" fontId="21" fillId="3" borderId="93" xfId="0" applyFont="1" applyFill="1" applyBorder="1"/>
    <xf numFmtId="0" fontId="21" fillId="2" borderId="91" xfId="0" applyFont="1" applyFill="1" applyBorder="1"/>
    <xf numFmtId="0" fontId="21" fillId="2" borderId="92" xfId="0" applyFont="1" applyFill="1" applyBorder="1"/>
    <xf numFmtId="0" fontId="22" fillId="2" borderId="62" xfId="0" applyFont="1" applyFill="1" applyBorder="1"/>
    <xf numFmtId="0" fontId="21" fillId="2" borderId="0" xfId="0" applyFont="1" applyFill="1" applyAlignment="1">
      <alignment horizontal="center"/>
    </xf>
    <xf numFmtId="0" fontId="25" fillId="4" borderId="0" xfId="0" applyFont="1" applyFill="1" applyBorder="1" applyAlignment="1">
      <alignment horizontal="center" wrapText="1"/>
    </xf>
    <xf numFmtId="0" fontId="25" fillId="4" borderId="7" xfId="0" applyFont="1" applyFill="1" applyBorder="1" applyAlignment="1">
      <alignment vertical="center" textRotation="90" wrapText="1"/>
    </xf>
    <xf numFmtId="0" fontId="25" fillId="4" borderId="46" xfId="0" applyFont="1" applyFill="1" applyBorder="1" applyAlignment="1">
      <alignment horizontal="center" vertical="center" textRotation="90" wrapText="1"/>
    </xf>
    <xf numFmtId="0" fontId="25" fillId="4" borderId="17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horizontal="center" wrapText="1"/>
    </xf>
    <xf numFmtId="0" fontId="25" fillId="4" borderId="6" xfId="0" applyFont="1" applyFill="1" applyBorder="1" applyAlignment="1">
      <alignment horizontal="center" vertical="center" textRotation="90" wrapText="1"/>
    </xf>
    <xf numFmtId="0" fontId="23" fillId="3" borderId="62" xfId="0" applyFont="1" applyFill="1" applyBorder="1"/>
    <xf numFmtId="0" fontId="21" fillId="3" borderId="91" xfId="0" applyFont="1" applyFill="1" applyBorder="1"/>
    <xf numFmtId="0" fontId="21" fillId="3" borderId="62" xfId="0" applyFont="1" applyFill="1" applyBorder="1"/>
    <xf numFmtId="0" fontId="21" fillId="3" borderId="100" xfId="0" applyFont="1" applyFill="1" applyBorder="1"/>
    <xf numFmtId="0" fontId="21" fillId="3" borderId="68" xfId="0" applyFont="1" applyFill="1" applyBorder="1" applyAlignment="1">
      <alignment horizontal="center"/>
    </xf>
    <xf numFmtId="0" fontId="23" fillId="3" borderId="68" xfId="0" applyFont="1" applyFill="1" applyBorder="1"/>
    <xf numFmtId="43" fontId="27" fillId="3" borderId="101" xfId="1" applyNumberFormat="1" applyFont="1" applyFill="1" applyBorder="1"/>
    <xf numFmtId="0" fontId="21" fillId="3" borderId="96" xfId="0" applyFont="1" applyFill="1" applyBorder="1"/>
    <xf numFmtId="0" fontId="21" fillId="3" borderId="62" xfId="0" applyFont="1" applyFill="1" applyBorder="1" applyAlignment="1">
      <alignment horizontal="center"/>
    </xf>
    <xf numFmtId="43" fontId="27" fillId="3" borderId="94" xfId="1" applyNumberFormat="1" applyFont="1" applyFill="1" applyBorder="1"/>
    <xf numFmtId="0" fontId="21" fillId="2" borderId="96" xfId="0" applyFont="1" applyFill="1" applyBorder="1"/>
    <xf numFmtId="0" fontId="21" fillId="2" borderId="62" xfId="0" applyFont="1" applyFill="1" applyBorder="1" applyAlignment="1">
      <alignment horizontal="center"/>
    </xf>
    <xf numFmtId="43" fontId="27" fillId="2" borderId="94" xfId="1" applyNumberFormat="1" applyFont="1" applyFill="1" applyBorder="1"/>
    <xf numFmtId="43" fontId="27" fillId="0" borderId="94" xfId="1" applyNumberFormat="1" applyFont="1" applyFill="1" applyBorder="1"/>
    <xf numFmtId="0" fontId="21" fillId="2" borderId="97" xfId="0" applyFont="1" applyFill="1" applyBorder="1"/>
    <xf numFmtId="0" fontId="21" fillId="2" borderId="63" xfId="0" applyFont="1" applyFill="1" applyBorder="1" applyAlignment="1">
      <alignment horizontal="center"/>
    </xf>
    <xf numFmtId="43" fontId="27" fillId="0" borderId="95" xfId="1" applyNumberFormat="1" applyFont="1" applyFill="1" applyBorder="1"/>
    <xf numFmtId="43" fontId="27" fillId="2" borderId="80" xfId="1" applyNumberFormat="1" applyFont="1" applyFill="1" applyBorder="1"/>
    <xf numFmtId="43" fontId="27" fillId="3" borderId="69" xfId="1" applyNumberFormat="1" applyFont="1" applyFill="1" applyBorder="1"/>
    <xf numFmtId="43" fontId="27" fillId="3" borderId="64" xfId="1" applyNumberFormat="1" applyFont="1" applyFill="1" applyBorder="1"/>
    <xf numFmtId="43" fontId="27" fillId="2" borderId="64" xfId="1" applyNumberFormat="1" applyFont="1" applyFill="1" applyBorder="1"/>
    <xf numFmtId="43" fontId="27" fillId="0" borderId="64" xfId="1" applyNumberFormat="1" applyFont="1" applyFill="1" applyBorder="1"/>
    <xf numFmtId="43" fontId="27" fillId="2" borderId="66" xfId="1" applyNumberFormat="1" applyFont="1" applyFill="1" applyBorder="1"/>
    <xf numFmtId="43" fontId="27" fillId="3" borderId="70" xfId="1" applyNumberFormat="1" applyFont="1" applyFill="1" applyBorder="1"/>
    <xf numFmtId="43" fontId="27" fillId="3" borderId="65" xfId="1" applyNumberFormat="1" applyFont="1" applyFill="1" applyBorder="1"/>
    <xf numFmtId="43" fontId="27" fillId="2" borderId="65" xfId="1" applyNumberFormat="1" applyFont="1" applyFill="1" applyBorder="1"/>
    <xf numFmtId="43" fontId="27" fillId="2" borderId="72" xfId="1" applyNumberFormat="1" applyFont="1" applyFill="1" applyBorder="1"/>
    <xf numFmtId="43" fontId="27" fillId="0" borderId="65" xfId="1" applyNumberFormat="1" applyFont="1" applyFill="1" applyBorder="1"/>
    <xf numFmtId="43" fontId="27" fillId="2" borderId="67" xfId="1" applyNumberFormat="1" applyFont="1" applyFill="1" applyBorder="1"/>
    <xf numFmtId="43" fontId="27" fillId="3" borderId="88" xfId="1" applyNumberFormat="1" applyFont="1" applyFill="1" applyBorder="1"/>
    <xf numFmtId="43" fontId="27" fillId="3" borderId="89" xfId="1" applyNumberFormat="1" applyFont="1" applyFill="1" applyBorder="1"/>
    <xf numFmtId="43" fontId="27" fillId="2" borderId="89" xfId="1" applyNumberFormat="1" applyFont="1" applyFill="1" applyBorder="1"/>
    <xf numFmtId="43" fontId="27" fillId="0" borderId="89" xfId="1" applyNumberFormat="1" applyFont="1" applyFill="1" applyBorder="1"/>
    <xf numFmtId="43" fontId="27" fillId="2" borderId="90" xfId="1" applyNumberFormat="1" applyFont="1" applyFill="1" applyBorder="1"/>
    <xf numFmtId="0" fontId="26" fillId="4" borderId="4" xfId="0" applyFont="1" applyFill="1" applyBorder="1" applyAlignment="1">
      <alignment horizontal="center" wrapText="1"/>
    </xf>
    <xf numFmtId="0" fontId="26" fillId="4" borderId="98" xfId="0" applyFont="1" applyFill="1" applyBorder="1" applyAlignment="1">
      <alignment horizontal="center" wrapText="1"/>
    </xf>
    <xf numFmtId="43" fontId="27" fillId="3" borderId="71" xfId="1" applyNumberFormat="1" applyFont="1" applyFill="1" applyBorder="1"/>
    <xf numFmtId="43" fontId="27" fillId="3" borderId="72" xfId="1" applyNumberFormat="1" applyFont="1" applyFill="1" applyBorder="1"/>
    <xf numFmtId="43" fontId="27" fillId="0" borderId="72" xfId="1" applyNumberFormat="1" applyFont="1" applyFill="1" applyBorder="1"/>
    <xf numFmtId="43" fontId="27" fillId="2" borderId="73" xfId="1" applyNumberFormat="1" applyFont="1" applyFill="1" applyBorder="1"/>
    <xf numFmtId="0" fontId="26" fillId="4" borderId="35" xfId="0" applyFont="1" applyFill="1" applyBorder="1" applyAlignment="1">
      <alignment horizontal="center" wrapText="1"/>
    </xf>
    <xf numFmtId="0" fontId="22" fillId="2" borderId="96" xfId="0" applyFont="1" applyFill="1" applyBorder="1"/>
    <xf numFmtId="0" fontId="22" fillId="2" borderId="91" xfId="0" applyFont="1" applyFill="1" applyBorder="1"/>
    <xf numFmtId="164" fontId="33" fillId="2" borderId="72" xfId="1" applyNumberFormat="1" applyFont="1" applyFill="1" applyBorder="1"/>
    <xf numFmtId="43" fontId="33" fillId="2" borderId="64" xfId="1" applyNumberFormat="1" applyFont="1" applyFill="1" applyBorder="1"/>
    <xf numFmtId="43" fontId="33" fillId="2" borderId="89" xfId="1" applyNumberFormat="1" applyFont="1" applyFill="1" applyBorder="1"/>
    <xf numFmtId="43" fontId="33" fillId="2" borderId="72" xfId="1" applyNumberFormat="1" applyFont="1" applyFill="1" applyBorder="1"/>
    <xf numFmtId="43" fontId="33" fillId="2" borderId="65" xfId="1" applyNumberFormat="1" applyFont="1" applyFill="1" applyBorder="1"/>
    <xf numFmtId="164" fontId="33" fillId="2" borderId="80" xfId="1" applyNumberFormat="1" applyFont="1" applyFill="1" applyBorder="1"/>
    <xf numFmtId="43" fontId="33" fillId="2" borderId="86" xfId="1" applyNumberFormat="1" applyFont="1" applyFill="1" applyBorder="1"/>
    <xf numFmtId="43" fontId="33" fillId="2" borderId="94" xfId="1" applyNumberFormat="1" applyFont="1" applyFill="1" applyBorder="1"/>
    <xf numFmtId="0" fontId="24" fillId="6" borderId="102" xfId="0" applyFont="1" applyFill="1" applyBorder="1"/>
    <xf numFmtId="0" fontId="24" fillId="7" borderId="0" xfId="0" applyFont="1" applyFill="1" applyAlignment="1"/>
    <xf numFmtId="0" fontId="24" fillId="6" borderId="35" xfId="0" applyFont="1" applyFill="1" applyBorder="1" applyAlignment="1"/>
    <xf numFmtId="0" fontId="24" fillId="6" borderId="103" xfId="0" applyFont="1" applyFill="1" applyBorder="1"/>
    <xf numFmtId="0" fontId="24" fillId="6" borderId="45" xfId="0" applyFont="1" applyFill="1" applyBorder="1" applyAlignment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4" fillId="6" borderId="1" xfId="0" applyFont="1" applyFill="1" applyBorder="1" applyAlignment="1"/>
    <xf numFmtId="0" fontId="24" fillId="6" borderId="0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5" xfId="0" applyNumberFormat="1" applyBorder="1"/>
    <xf numFmtId="0" fontId="0" fillId="0" borderId="38" xfId="0" applyNumberFormat="1" applyBorder="1"/>
    <xf numFmtId="0" fontId="0" fillId="0" borderId="0" xfId="0" applyBorder="1" applyAlignment="1">
      <alignment horizontal="left"/>
    </xf>
    <xf numFmtId="0" fontId="24" fillId="6" borderId="5" xfId="0" applyFont="1" applyFill="1" applyBorder="1"/>
    <xf numFmtId="0" fontId="0" fillId="0" borderId="3" xfId="0" applyBorder="1" applyAlignment="1">
      <alignment horizontal="left"/>
    </xf>
    <xf numFmtId="3" fontId="0" fillId="2" borderId="72" xfId="0" applyNumberFormat="1" applyFill="1" applyBorder="1"/>
    <xf numFmtId="0" fontId="0" fillId="2" borderId="0" xfId="0" applyFill="1" applyBorder="1" applyAlignment="1">
      <alignment wrapText="1"/>
    </xf>
    <xf numFmtId="0" fontId="0" fillId="2" borderId="0" xfId="0" quotePrefix="1" applyFill="1" applyBorder="1"/>
    <xf numFmtId="0" fontId="24" fillId="6" borderId="40" xfId="0" applyFont="1" applyFill="1" applyBorder="1" applyAlignment="1">
      <alignment horizontal="center" vertical="center" wrapText="1"/>
    </xf>
    <xf numFmtId="0" fontId="24" fillId="6" borderId="30" xfId="0" applyFont="1" applyFill="1" applyBorder="1" applyAlignment="1">
      <alignment horizontal="center" vertical="center" wrapText="1"/>
    </xf>
    <xf numFmtId="0" fontId="24" fillId="6" borderId="31" xfId="0" applyFont="1" applyFill="1" applyBorder="1" applyAlignment="1">
      <alignment horizontal="center" vertical="center" wrapText="1"/>
    </xf>
    <xf numFmtId="0" fontId="24" fillId="3" borderId="28" xfId="0" applyFont="1" applyFill="1" applyBorder="1"/>
    <xf numFmtId="0" fontId="0" fillId="3" borderId="29" xfId="0" applyFill="1" applyBorder="1"/>
    <xf numFmtId="0" fontId="0" fillId="2" borderId="11" xfId="0" applyFill="1" applyBorder="1" applyAlignment="1">
      <alignment wrapText="1"/>
    </xf>
    <xf numFmtId="9" fontId="18" fillId="2" borderId="11" xfId="8" applyFont="1" applyFill="1" applyBorder="1"/>
    <xf numFmtId="9" fontId="18" fillId="2" borderId="0" xfId="8" applyFont="1" applyFill="1"/>
    <xf numFmtId="9" fontId="0" fillId="2" borderId="0" xfId="0" applyNumberFormat="1" applyFill="1"/>
    <xf numFmtId="10" fontId="18" fillId="2" borderId="0" xfId="8" applyNumberFormat="1" applyFont="1" applyFill="1"/>
    <xf numFmtId="1" fontId="0" fillId="2" borderId="0" xfId="0" applyNumberFormat="1" applyFill="1"/>
    <xf numFmtId="1" fontId="0" fillId="2" borderId="72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  <xf numFmtId="0" fontId="0" fillId="2" borderId="17" xfId="0" applyFill="1" applyBorder="1"/>
    <xf numFmtId="0" fontId="24" fillId="6" borderId="102" xfId="0" applyFont="1" applyFill="1" applyBorder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24" fillId="6" borderId="1" xfId="0" applyFont="1" applyFill="1" applyBorder="1" applyAlignment="1"/>
    <xf numFmtId="0" fontId="0" fillId="0" borderId="2" xfId="0" applyBorder="1" applyAlignment="1">
      <alignment horizontal="left"/>
    </xf>
    <xf numFmtId="0" fontId="28" fillId="4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5" fillId="2" borderId="0" xfId="0" applyFont="1" applyFill="1"/>
    <xf numFmtId="0" fontId="34" fillId="2" borderId="0" xfId="0" applyFont="1" applyFill="1" applyAlignment="1">
      <alignment wrapText="1"/>
    </xf>
    <xf numFmtId="164" fontId="31" fillId="0" borderId="11" xfId="0" applyNumberFormat="1" applyFont="1" applyBorder="1"/>
    <xf numFmtId="0" fontId="0" fillId="0" borderId="11" xfId="0" applyBorder="1"/>
    <xf numFmtId="0" fontId="0" fillId="0" borderId="14" xfId="0" applyBorder="1"/>
    <xf numFmtId="0" fontId="0" fillId="0" borderId="0" xfId="0"/>
    <xf numFmtId="0" fontId="21" fillId="2" borderId="0" xfId="7" applyFont="1" applyFill="1"/>
    <xf numFmtId="0" fontId="36" fillId="2" borderId="0" xfId="7" applyFont="1" applyFill="1"/>
    <xf numFmtId="0" fontId="7" fillId="2" borderId="0" xfId="7" applyFont="1" applyFill="1" applyBorder="1" applyAlignment="1">
      <alignment vertical="top"/>
    </xf>
    <xf numFmtId="0" fontId="8" fillId="2" borderId="0" xfId="7" applyFont="1" applyFill="1" applyBorder="1" applyAlignment="1">
      <alignment horizontal="center"/>
    </xf>
    <xf numFmtId="0" fontId="7" fillId="2" borderId="0" xfId="7" applyFont="1" applyFill="1"/>
    <xf numFmtId="0" fontId="7" fillId="2" borderId="0" xfId="7" applyFont="1" applyFill="1" applyBorder="1" applyAlignment="1"/>
    <xf numFmtId="0" fontId="21" fillId="0" borderId="0" xfId="7" applyFont="1"/>
    <xf numFmtId="0" fontId="7" fillId="2" borderId="0" xfId="7" applyFont="1" applyFill="1" applyAlignment="1">
      <alignment vertical="center"/>
    </xf>
    <xf numFmtId="0" fontId="8" fillId="2" borderId="0" xfId="7" applyFont="1" applyFill="1" applyAlignment="1">
      <alignment vertical="center" wrapText="1"/>
    </xf>
    <xf numFmtId="0" fontId="7" fillId="2" borderId="0" xfId="7" applyFont="1" applyFill="1" applyAlignment="1">
      <alignment horizontal="left" vertical="center" wrapText="1"/>
    </xf>
    <xf numFmtId="0" fontId="7" fillId="2" borderId="0" xfId="7" applyFont="1" applyFill="1" applyBorder="1" applyAlignment="1">
      <alignment horizontal="left" vertical="center" wrapText="1"/>
    </xf>
    <xf numFmtId="0" fontId="7" fillId="2" borderId="0" xfId="7" applyFont="1" applyFill="1" applyBorder="1" applyAlignment="1" applyProtection="1">
      <alignment horizontal="left" vertical="center"/>
      <protection locked="0"/>
    </xf>
    <xf numFmtId="0" fontId="9" fillId="2" borderId="0" xfId="7" applyFont="1" applyFill="1" applyBorder="1" applyAlignment="1"/>
    <xf numFmtId="0" fontId="8" fillId="2" borderId="0" xfId="7" applyFont="1" applyFill="1" applyBorder="1" applyAlignment="1">
      <alignment vertical="top"/>
    </xf>
    <xf numFmtId="0" fontId="7" fillId="2" borderId="0" xfId="7" applyFont="1" applyFill="1" applyBorder="1" applyAlignment="1">
      <alignment vertical="center"/>
    </xf>
    <xf numFmtId="0" fontId="10" fillId="2" borderId="0" xfId="7" applyFont="1" applyFill="1" applyAlignment="1">
      <alignment wrapText="1"/>
    </xf>
    <xf numFmtId="0" fontId="11" fillId="2" borderId="0" xfId="7" applyFont="1" applyFill="1" applyBorder="1" applyAlignment="1">
      <alignment horizontal="left"/>
    </xf>
    <xf numFmtId="0" fontId="12" fillId="2" borderId="0" xfId="7" applyFont="1" applyFill="1" applyBorder="1" applyAlignment="1">
      <alignment horizontal="right"/>
    </xf>
    <xf numFmtId="0" fontId="12" fillId="2" borderId="0" xfId="7" applyFont="1" applyFill="1" applyBorder="1" applyAlignment="1"/>
    <xf numFmtId="0" fontId="37" fillId="2" borderId="0" xfId="7" applyFont="1" applyFill="1" applyBorder="1" applyAlignment="1">
      <alignment vertical="center"/>
    </xf>
    <xf numFmtId="0" fontId="38" fillId="2" borderId="0" xfId="7" applyFont="1" applyFill="1" applyAlignment="1">
      <alignment horizontal="justify" vertical="top"/>
    </xf>
    <xf numFmtId="0" fontId="38" fillId="2" borderId="0" xfId="7" applyFont="1" applyFill="1" applyBorder="1" applyAlignment="1">
      <alignment vertical="top"/>
    </xf>
    <xf numFmtId="0" fontId="8" fillId="2" borderId="0" xfId="7" applyFont="1" applyFill="1" applyAlignment="1"/>
    <xf numFmtId="0" fontId="8" fillId="2" borderId="0" xfId="7" applyFont="1" applyFill="1" applyAlignment="1">
      <alignment wrapText="1"/>
    </xf>
    <xf numFmtId="0" fontId="11" fillId="2" borderId="0" xfId="7" applyFont="1" applyFill="1" applyBorder="1" applyAlignment="1"/>
    <xf numFmtId="0" fontId="39" fillId="2" borderId="0" xfId="7" applyFont="1" applyFill="1" applyAlignment="1">
      <alignment horizontal="left" vertical="justify"/>
    </xf>
    <xf numFmtId="0" fontId="21" fillId="2" borderId="0" xfId="7" applyFont="1" applyFill="1" applyAlignment="1">
      <alignment horizontal="left" vertical="justify"/>
    </xf>
    <xf numFmtId="0" fontId="13" fillId="2" borderId="0" xfId="7" applyFont="1" applyFill="1" applyBorder="1" applyAlignment="1">
      <alignment horizontal="left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40" fillId="11" borderId="106" xfId="7" applyFont="1" applyFill="1" applyBorder="1" applyAlignment="1">
      <alignment vertical="top"/>
    </xf>
    <xf numFmtId="0" fontId="40" fillId="11" borderId="107" xfId="7" applyFont="1" applyFill="1" applyBorder="1" applyAlignment="1">
      <alignment vertical="top"/>
    </xf>
    <xf numFmtId="3" fontId="21" fillId="11" borderId="107" xfId="7" applyNumberFormat="1" applyFont="1" applyFill="1" applyBorder="1" applyAlignment="1">
      <alignment vertical="top"/>
    </xf>
    <xf numFmtId="3" fontId="21" fillId="11" borderId="108" xfId="7" applyNumberFormat="1" applyFont="1" applyFill="1" applyBorder="1" applyAlignment="1">
      <alignment vertical="top"/>
    </xf>
    <xf numFmtId="0" fontId="23" fillId="2" borderId="109" xfId="7" applyFont="1" applyFill="1" applyBorder="1" applyAlignment="1">
      <alignment vertical="top"/>
    </xf>
    <xf numFmtId="0" fontId="23" fillId="2" borderId="110" xfId="7" applyFont="1" applyFill="1" applyBorder="1" applyAlignment="1">
      <alignment vertical="top"/>
    </xf>
    <xf numFmtId="3" fontId="21" fillId="2" borderId="111" xfId="7" applyNumberFormat="1" applyFont="1" applyFill="1" applyBorder="1" applyAlignment="1">
      <alignment vertical="top" wrapText="1"/>
    </xf>
    <xf numFmtId="3" fontId="40" fillId="12" borderId="112" xfId="7" applyNumberFormat="1" applyFont="1" applyFill="1" applyBorder="1" applyAlignment="1">
      <alignment horizontal="center" vertical="top" wrapText="1"/>
    </xf>
    <xf numFmtId="0" fontId="23" fillId="2" borderId="109" xfId="7" applyFont="1" applyFill="1" applyBorder="1" applyAlignment="1">
      <alignment vertical="top" wrapText="1"/>
    </xf>
    <xf numFmtId="0" fontId="23" fillId="2" borderId="110" xfId="7" applyFont="1" applyFill="1" applyBorder="1" applyAlignment="1">
      <alignment vertical="top" wrapText="1"/>
    </xf>
    <xf numFmtId="3" fontId="8" fillId="2" borderId="112" xfId="7" applyNumberFormat="1" applyFont="1" applyFill="1" applyBorder="1" applyAlignment="1">
      <alignment horizontal="center" vertical="top" wrapText="1"/>
    </xf>
    <xf numFmtId="0" fontId="23" fillId="2" borderId="11" xfId="7" applyFont="1" applyFill="1" applyBorder="1" applyAlignment="1">
      <alignment vertical="center" wrapText="1"/>
    </xf>
    <xf numFmtId="3" fontId="22" fillId="2" borderId="113" xfId="7" applyNumberFormat="1" applyFont="1" applyFill="1" applyBorder="1" applyAlignment="1">
      <alignment vertical="top" wrapText="1"/>
    </xf>
    <xf numFmtId="3" fontId="14" fillId="2" borderId="112" xfId="7" applyNumberFormat="1" applyFont="1" applyFill="1" applyBorder="1" applyAlignment="1">
      <alignment horizontal="center" vertical="top" wrapText="1"/>
    </xf>
    <xf numFmtId="0" fontId="40" fillId="10" borderId="114" xfId="7" applyFont="1" applyFill="1" applyBorder="1" applyAlignment="1">
      <alignment vertical="top"/>
    </xf>
    <xf numFmtId="0" fontId="40" fillId="10" borderId="115" xfId="7" applyFont="1" applyFill="1" applyBorder="1" applyAlignment="1">
      <alignment vertical="top" wrapText="1"/>
    </xf>
    <xf numFmtId="3" fontId="40" fillId="12" borderId="116" xfId="7" applyNumberFormat="1" applyFont="1" applyFill="1" applyBorder="1" applyAlignment="1">
      <alignment horizontal="center" vertical="top" wrapText="1"/>
    </xf>
    <xf numFmtId="3" fontId="40" fillId="12" borderId="117" xfId="7" applyNumberFormat="1" applyFont="1" applyFill="1" applyBorder="1" applyAlignment="1">
      <alignment horizontal="center" vertical="top" wrapText="1"/>
    </xf>
    <xf numFmtId="0" fontId="40" fillId="11" borderId="106" xfId="7" applyFont="1" applyFill="1" applyBorder="1" applyAlignment="1">
      <alignment vertical="top" wrapText="1"/>
    </xf>
    <xf numFmtId="0" fontId="40" fillId="11" borderId="107" xfId="7" applyFont="1" applyFill="1" applyBorder="1" applyAlignment="1">
      <alignment vertical="top" wrapText="1"/>
    </xf>
    <xf numFmtId="3" fontId="21" fillId="11" borderId="107" xfId="7" applyNumberFormat="1" applyFont="1" applyFill="1" applyBorder="1" applyAlignment="1">
      <alignment vertical="top" wrapText="1"/>
    </xf>
    <xf numFmtId="3" fontId="21" fillId="11" borderId="108" xfId="7" applyNumberFormat="1" applyFont="1" applyFill="1" applyBorder="1" applyAlignment="1">
      <alignment vertical="top" wrapText="1"/>
    </xf>
    <xf numFmtId="0" fontId="21" fillId="2" borderId="110" xfId="7" applyFont="1" applyFill="1" applyBorder="1" applyAlignment="1">
      <alignment vertical="top" wrapText="1"/>
    </xf>
    <xf numFmtId="0" fontId="40" fillId="11" borderId="118" xfId="7" applyFont="1" applyFill="1" applyBorder="1" applyAlignment="1">
      <alignment vertical="top" wrapText="1"/>
    </xf>
    <xf numFmtId="3" fontId="21" fillId="11" borderId="119" xfId="7" applyNumberFormat="1" applyFont="1" applyFill="1" applyBorder="1" applyAlignment="1">
      <alignment vertical="top" wrapText="1"/>
    </xf>
    <xf numFmtId="3" fontId="21" fillId="2" borderId="105" xfId="7" applyNumberFormat="1" applyFont="1" applyFill="1" applyBorder="1" applyAlignment="1">
      <alignment vertical="top" wrapText="1"/>
    </xf>
    <xf numFmtId="3" fontId="8" fillId="3" borderId="116" xfId="7" applyNumberFormat="1" applyFont="1" applyFill="1" applyBorder="1" applyAlignment="1">
      <alignment horizontal="center" vertical="top" wrapText="1"/>
    </xf>
    <xf numFmtId="0" fontId="15" fillId="2" borderId="0" xfId="7" applyFont="1" applyFill="1" applyBorder="1" applyAlignment="1"/>
    <xf numFmtId="0" fontId="8" fillId="2" borderId="0" xfId="7" applyFont="1" applyFill="1" applyBorder="1" applyAlignment="1"/>
    <xf numFmtId="0" fontId="23" fillId="10" borderId="40" xfId="7" applyFont="1" applyFill="1" applyBorder="1" applyAlignment="1">
      <alignment horizontal="center" vertical="center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0" borderId="19" xfId="7" applyFont="1" applyBorder="1" applyAlignment="1">
      <alignment vertical="top" wrapText="1"/>
    </xf>
    <xf numFmtId="0" fontId="23" fillId="0" borderId="11" xfId="7" applyFont="1" applyBorder="1" applyAlignment="1">
      <alignment vertical="top" wrapText="1"/>
    </xf>
    <xf numFmtId="0" fontId="21" fillId="0" borderId="11" xfId="7" applyFont="1" applyBorder="1" applyAlignment="1">
      <alignment vertical="top" wrapText="1"/>
    </xf>
    <xf numFmtId="3" fontId="8" fillId="3" borderId="20" xfId="7" applyNumberFormat="1" applyFont="1" applyFill="1" applyBorder="1" applyAlignment="1">
      <alignment horizontal="center" vertical="top" wrapText="1"/>
    </xf>
    <xf numFmtId="0" fontId="40" fillId="10" borderId="39" xfId="7" applyFont="1" applyFill="1" applyBorder="1" applyAlignment="1">
      <alignment vertical="top" wrapText="1"/>
    </xf>
    <xf numFmtId="0" fontId="40" fillId="12" borderId="28" xfId="7" applyFont="1" applyFill="1" applyBorder="1" applyAlignment="1">
      <alignment vertical="top" wrapText="1"/>
    </xf>
    <xf numFmtId="0" fontId="40" fillId="13" borderId="28" xfId="7" applyFont="1" applyFill="1" applyBorder="1" applyAlignment="1">
      <alignment vertical="top" wrapText="1"/>
    </xf>
    <xf numFmtId="3" fontId="8" fillId="3" borderId="29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0" borderId="19" xfId="7" applyFont="1" applyBorder="1" applyAlignment="1"/>
    <xf numFmtId="0" fontId="8" fillId="0" borderId="11" xfId="7" applyFont="1" applyFill="1" applyBorder="1" applyAlignment="1">
      <alignment horizontal="center"/>
    </xf>
    <xf numFmtId="0" fontId="7" fillId="2" borderId="0" xfId="7" applyFont="1" applyFill="1" applyBorder="1" applyAlignment="1">
      <alignment horizontal="justify"/>
    </xf>
    <xf numFmtId="0" fontId="8" fillId="0" borderId="20" xfId="7" applyFont="1" applyFill="1" applyBorder="1" applyAlignment="1">
      <alignment horizontal="center"/>
    </xf>
    <xf numFmtId="0" fontId="41" fillId="2" borderId="0" xfId="7" applyFont="1" applyFill="1" applyAlignment="1"/>
    <xf numFmtId="0" fontId="23" fillId="10" borderId="20" xfId="7" applyFont="1" applyFill="1" applyBorder="1" applyAlignment="1">
      <alignment horizontal="center" vertical="center" wrapText="1"/>
    </xf>
    <xf numFmtId="3" fontId="40" fillId="12" borderId="28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vertical="top" wrapText="1"/>
    </xf>
    <xf numFmtId="0" fontId="23" fillId="10" borderId="31" xfId="7" applyFont="1" applyFill="1" applyBorder="1" applyAlignment="1">
      <alignment horizontal="center" vertical="top" wrapText="1"/>
    </xf>
    <xf numFmtId="0" fontId="21" fillId="12" borderId="20" xfId="7" applyFont="1" applyFill="1" applyBorder="1" applyAlignment="1">
      <alignment vertical="top" wrapText="1"/>
    </xf>
    <xf numFmtId="0" fontId="23" fillId="0" borderId="39" xfId="7" applyFont="1" applyBorder="1" applyAlignment="1"/>
    <xf numFmtId="0" fontId="39" fillId="2" borderId="0" xfId="7" applyFont="1" applyFill="1" applyAlignment="1"/>
    <xf numFmtId="0" fontId="23" fillId="2" borderId="0" xfId="7" applyFont="1" applyFill="1" applyAlignment="1"/>
    <xf numFmtId="0" fontId="23" fillId="2" borderId="0" xfId="7" applyFont="1" applyFill="1" applyAlignment="1">
      <alignment horizontal="center" vertical="center"/>
    </xf>
    <xf numFmtId="0" fontId="40" fillId="11" borderId="48" xfId="7" applyFont="1" applyFill="1" applyBorder="1" applyAlignment="1">
      <alignment vertical="top"/>
    </xf>
    <xf numFmtId="0" fontId="40" fillId="11" borderId="49" xfId="7" applyFont="1" applyFill="1" applyBorder="1" applyAlignment="1">
      <alignment vertical="top" wrapText="1"/>
    </xf>
    <xf numFmtId="0" fontId="21" fillId="11" borderId="49" xfId="7" applyFont="1" applyFill="1" applyBorder="1" applyAlignment="1">
      <alignment vertical="top" wrapText="1"/>
    </xf>
    <xf numFmtId="0" fontId="21" fillId="11" borderId="50" xfId="7" applyFont="1" applyFill="1" applyBorder="1" applyAlignment="1">
      <alignment vertical="top" wrapText="1"/>
    </xf>
    <xf numFmtId="0" fontId="23" fillId="2" borderId="48" xfId="7" applyFont="1" applyFill="1" applyBorder="1" applyAlignment="1">
      <alignment vertical="top"/>
    </xf>
    <xf numFmtId="0" fontId="23" fillId="2" borderId="23" xfId="7" applyFont="1" applyFill="1" applyBorder="1" applyAlignment="1">
      <alignment vertical="top"/>
    </xf>
    <xf numFmtId="3" fontId="23" fillId="14" borderId="20" xfId="7" applyNumberFormat="1" applyFont="1" applyFill="1" applyBorder="1" applyAlignment="1">
      <alignment horizontal="center" vertical="top" wrapText="1"/>
    </xf>
    <xf numFmtId="0" fontId="23" fillId="2" borderId="48" xfId="7" applyFont="1" applyFill="1" applyBorder="1" applyAlignment="1">
      <alignment vertical="top" wrapText="1"/>
    </xf>
    <xf numFmtId="0" fontId="23" fillId="2" borderId="23" xfId="7" applyFont="1" applyFill="1" applyBorder="1" applyAlignment="1">
      <alignment vertical="top" wrapText="1"/>
    </xf>
    <xf numFmtId="3" fontId="42" fillId="14" borderId="20" xfId="7" applyNumberFormat="1" applyFont="1" applyFill="1" applyBorder="1" applyAlignment="1">
      <alignment horizontal="center" vertical="top" wrapText="1"/>
    </xf>
    <xf numFmtId="0" fontId="40" fillId="10" borderId="48" xfId="7" applyFont="1" applyFill="1" applyBorder="1" applyAlignment="1">
      <alignment vertical="top" wrapText="1"/>
    </xf>
    <xf numFmtId="0" fontId="40" fillId="10" borderId="23" xfId="7" applyFont="1" applyFill="1" applyBorder="1" applyAlignment="1">
      <alignment vertical="top" wrapText="1"/>
    </xf>
    <xf numFmtId="0" fontId="40" fillId="11" borderId="48" xfId="7" applyFont="1" applyFill="1" applyBorder="1" applyAlignment="1">
      <alignment vertical="top" wrapText="1"/>
    </xf>
    <xf numFmtId="3" fontId="21" fillId="11" borderId="49" xfId="7" applyNumberFormat="1" applyFont="1" applyFill="1" applyBorder="1" applyAlignment="1">
      <alignment vertical="top" wrapText="1"/>
    </xf>
    <xf numFmtId="3" fontId="21" fillId="11" borderId="50" xfId="7" applyNumberFormat="1" applyFont="1" applyFill="1" applyBorder="1" applyAlignment="1">
      <alignment vertical="top" wrapText="1"/>
    </xf>
    <xf numFmtId="0" fontId="21" fillId="0" borderId="23" xfId="7" applyFont="1" applyBorder="1" applyAlignment="1">
      <alignment vertical="top" wrapText="1"/>
    </xf>
    <xf numFmtId="0" fontId="40" fillId="11" borderId="49" xfId="7" applyFont="1" applyFill="1" applyBorder="1" applyAlignment="1">
      <alignment vertical="top"/>
    </xf>
    <xf numFmtId="0" fontId="40" fillId="10" borderId="51" xfId="7" applyFont="1" applyFill="1" applyBorder="1" applyAlignment="1">
      <alignment vertical="top" wrapText="1"/>
    </xf>
    <xf numFmtId="0" fontId="40" fillId="10" borderId="33" xfId="7" applyFont="1" applyFill="1" applyBorder="1" applyAlignment="1">
      <alignment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3" fontId="40" fillId="12" borderId="11" xfId="7" applyNumberFormat="1" applyFont="1" applyFill="1" applyBorder="1" applyAlignment="1">
      <alignment horizontal="center" vertical="top" wrapText="1"/>
    </xf>
    <xf numFmtId="0" fontId="23" fillId="10" borderId="19" xfId="7" applyFont="1" applyFill="1" applyBorder="1" applyAlignment="1">
      <alignment vertical="center" wrapText="1"/>
    </xf>
    <xf numFmtId="0" fontId="23" fillId="2" borderId="48" xfId="7" applyFont="1" applyFill="1" applyBorder="1" applyAlignment="1"/>
    <xf numFmtId="0" fontId="21" fillId="2" borderId="23" xfId="7" applyFont="1" applyFill="1" applyBorder="1" applyAlignment="1">
      <alignment vertical="top"/>
    </xf>
    <xf numFmtId="0" fontId="21" fillId="2" borderId="23" xfId="7" applyFont="1" applyFill="1" applyBorder="1" applyAlignment="1">
      <alignment vertical="top" wrapText="1"/>
    </xf>
    <xf numFmtId="166" fontId="40" fillId="12" borderId="11" xfId="7" applyNumberFormat="1" applyFont="1" applyFill="1" applyBorder="1" applyAlignment="1">
      <alignment horizontal="center" vertical="top" wrapText="1"/>
    </xf>
    <xf numFmtId="167" fontId="40" fillId="12" borderId="11" xfId="7" applyNumberFormat="1" applyFont="1" applyFill="1" applyBorder="1" applyAlignment="1">
      <alignment horizontal="center" vertical="top" wrapText="1"/>
    </xf>
    <xf numFmtId="0" fontId="23" fillId="10" borderId="39" xfId="7" applyFont="1" applyFill="1" applyBorder="1" applyAlignment="1">
      <alignment vertical="center" wrapText="1"/>
    </xf>
    <xf numFmtId="1" fontId="21" fillId="12" borderId="20" xfId="7" applyNumberFormat="1" applyFont="1" applyFill="1" applyBorder="1" applyAlignment="1">
      <alignment vertical="top" wrapText="1"/>
    </xf>
    <xf numFmtId="3" fontId="21" fillId="12" borderId="29" xfId="7" applyNumberFormat="1" applyFont="1" applyFill="1" applyBorder="1" applyAlignment="1">
      <alignment vertical="top" wrapText="1"/>
    </xf>
    <xf numFmtId="3" fontId="21" fillId="3" borderId="111" xfId="7" applyNumberFormat="1" applyFont="1" applyFill="1" applyBorder="1" applyAlignment="1">
      <alignment vertical="top" wrapText="1"/>
    </xf>
    <xf numFmtId="0" fontId="23" fillId="3" borderId="111" xfId="7" applyFont="1" applyFill="1" applyBorder="1" applyAlignment="1">
      <alignment vertical="center" wrapText="1"/>
    </xf>
    <xf numFmtId="0" fontId="23" fillId="3" borderId="105" xfId="7" applyFont="1" applyFill="1" applyBorder="1" applyAlignment="1">
      <alignment vertical="center" wrapText="1"/>
    </xf>
    <xf numFmtId="0" fontId="23" fillId="3" borderId="11" xfId="7" applyFont="1" applyFill="1" applyBorder="1" applyAlignment="1">
      <alignment vertical="center" wrapText="1"/>
    </xf>
    <xf numFmtId="3" fontId="21" fillId="3" borderId="11" xfId="7" applyNumberFormat="1" applyFont="1" applyFill="1" applyBorder="1" applyAlignment="1">
      <alignment horizontal="center" vertical="top" wrapText="1"/>
    </xf>
    <xf numFmtId="3" fontId="21" fillId="2" borderId="11" xfId="7" applyNumberFormat="1" applyFont="1" applyFill="1" applyBorder="1" applyAlignment="1">
      <alignment horizontal="center" vertical="top" wrapText="1"/>
    </xf>
    <xf numFmtId="3" fontId="23" fillId="2" borderId="11" xfId="7" applyNumberFormat="1" applyFont="1" applyFill="1" applyBorder="1" applyAlignment="1">
      <alignment horizontal="center" vertical="top" wrapText="1"/>
    </xf>
    <xf numFmtId="3" fontId="21" fillId="3" borderId="13" xfId="7" applyNumberFormat="1" applyFont="1" applyFill="1" applyBorder="1" applyAlignment="1">
      <alignment vertical="top" wrapText="1"/>
    </xf>
    <xf numFmtId="3" fontId="21" fillId="3" borderId="53" xfId="7" applyNumberFormat="1" applyFont="1" applyFill="1" applyBorder="1" applyAlignment="1">
      <alignment vertical="top" wrapText="1"/>
    </xf>
    <xf numFmtId="3" fontId="21" fillId="3" borderId="54" xfId="7" applyNumberFormat="1" applyFont="1" applyFill="1" applyBorder="1" applyAlignment="1">
      <alignment vertical="top" wrapText="1"/>
    </xf>
    <xf numFmtId="3" fontId="21" fillId="3" borderId="52" xfId="7" applyNumberFormat="1" applyFont="1" applyFill="1" applyBorder="1" applyAlignment="1">
      <alignment vertical="top" wrapText="1"/>
    </xf>
    <xf numFmtId="3" fontId="21" fillId="3" borderId="0" xfId="7" applyNumberFormat="1" applyFont="1" applyFill="1" applyBorder="1" applyAlignment="1">
      <alignment vertical="top" wrapText="1"/>
    </xf>
    <xf numFmtId="3" fontId="21" fillId="3" borderId="55" xfId="7" applyNumberFormat="1" applyFont="1" applyFill="1" applyBorder="1" applyAlignment="1">
      <alignment vertical="top" wrapText="1"/>
    </xf>
    <xf numFmtId="3" fontId="21" fillId="3" borderId="44" xfId="7" applyNumberFormat="1" applyFont="1" applyFill="1" applyBorder="1" applyAlignment="1">
      <alignment vertical="top" wrapText="1"/>
    </xf>
    <xf numFmtId="3" fontId="21" fillId="3" borderId="56" xfId="7" applyNumberFormat="1" applyFont="1" applyFill="1" applyBorder="1" applyAlignment="1">
      <alignment vertical="top" wrapText="1"/>
    </xf>
    <xf numFmtId="3" fontId="21" fillId="3" borderId="42" xfId="7" applyNumberFormat="1" applyFont="1" applyFill="1" applyBorder="1" applyAlignment="1">
      <alignment vertical="top" wrapText="1"/>
    </xf>
    <xf numFmtId="0" fontId="7" fillId="2" borderId="11" xfId="7" applyFont="1" applyFill="1" applyBorder="1" applyAlignment="1" applyProtection="1">
      <alignment horizontal="center" vertical="center"/>
      <protection locked="0"/>
    </xf>
    <xf numFmtId="0" fontId="7" fillId="2" borderId="11" xfId="7" applyFont="1" applyFill="1" applyBorder="1" applyAlignment="1">
      <alignment horizontal="center" vertical="center" wrapText="1"/>
    </xf>
    <xf numFmtId="0" fontId="7" fillId="2" borderId="11" xfId="7" applyFont="1" applyFill="1" applyBorder="1" applyAlignment="1">
      <alignment horizontal="center"/>
    </xf>
    <xf numFmtId="164" fontId="7" fillId="2" borderId="11" xfId="1" applyNumberFormat="1" applyFont="1" applyFill="1" applyBorder="1" applyAlignment="1">
      <alignment horizontal="center" vertical="center" wrapText="1"/>
    </xf>
    <xf numFmtId="3" fontId="23" fillId="14" borderId="28" xfId="7" applyNumberFormat="1" applyFont="1" applyFill="1" applyBorder="1" applyAlignment="1">
      <alignment horizontal="center" vertical="top" wrapText="1"/>
    </xf>
    <xf numFmtId="3" fontId="23" fillId="14" borderId="29" xfId="7" applyNumberFormat="1" applyFont="1" applyFill="1" applyBorder="1" applyAlignment="1">
      <alignment horizontal="center" vertical="top" wrapText="1"/>
    </xf>
    <xf numFmtId="0" fontId="43" fillId="2" borderId="0" xfId="7" applyFont="1" applyFill="1"/>
    <xf numFmtId="0" fontId="27" fillId="2" borderId="0" xfId="7" applyFont="1" applyFill="1"/>
    <xf numFmtId="0" fontId="21" fillId="8" borderId="0" xfId="7" applyFont="1" applyFill="1"/>
    <xf numFmtId="0" fontId="21" fillId="9" borderId="0" xfId="7" applyFont="1" applyFill="1"/>
    <xf numFmtId="10" fontId="21" fillId="2" borderId="0" xfId="8" applyNumberFormat="1" applyFont="1" applyFill="1" applyBorder="1"/>
    <xf numFmtId="0" fontId="43" fillId="2" borderId="0" xfId="0" applyFont="1" applyFill="1" applyBorder="1"/>
    <xf numFmtId="0" fontId="27" fillId="2" borderId="0" xfId="0" applyFont="1" applyFill="1" applyBorder="1"/>
    <xf numFmtId="10" fontId="27" fillId="2" borderId="0" xfId="8" applyNumberFormat="1" applyFont="1" applyFill="1" applyBorder="1"/>
    <xf numFmtId="0" fontId="27" fillId="2" borderId="0" xfId="0" applyFont="1" applyFill="1"/>
    <xf numFmtId="0" fontId="43" fillId="2" borderId="0" xfId="0" applyFont="1" applyFill="1"/>
    <xf numFmtId="10" fontId="43" fillId="2" borderId="0" xfId="8" applyNumberFormat="1" applyFont="1" applyFill="1" applyBorder="1"/>
    <xf numFmtId="10" fontId="27" fillId="2" borderId="0" xfId="8" applyNumberFormat="1" applyFont="1" applyFill="1"/>
    <xf numFmtId="10" fontId="21" fillId="2" borderId="45" xfId="8" applyNumberFormat="1" applyFont="1" applyFill="1" applyBorder="1"/>
    <xf numFmtId="10" fontId="21" fillId="2" borderId="38" xfId="8" applyNumberFormat="1" applyFont="1" applyFill="1" applyBorder="1"/>
    <xf numFmtId="0" fontId="23" fillId="2" borderId="35" xfId="7" applyFont="1" applyFill="1" applyBorder="1" applyAlignment="1">
      <alignment horizontal="left"/>
    </xf>
    <xf numFmtId="3" fontId="8" fillId="4" borderId="116" xfId="7" applyNumberFormat="1" applyFont="1" applyFill="1" applyBorder="1" applyAlignment="1">
      <alignment horizontal="center" vertical="top" wrapText="1"/>
    </xf>
    <xf numFmtId="10" fontId="8" fillId="8" borderId="116" xfId="8" applyNumberFormat="1" applyFont="1" applyFill="1" applyBorder="1" applyAlignment="1">
      <alignment horizontal="center" vertical="top" wrapText="1"/>
    </xf>
    <xf numFmtId="10" fontId="8" fillId="8" borderId="112" xfId="8" applyNumberFormat="1" applyFont="1" applyFill="1" applyBorder="1" applyAlignment="1">
      <alignment horizontal="center" vertical="top" wrapText="1"/>
    </xf>
    <xf numFmtId="10" fontId="7" fillId="8" borderId="111" xfId="8" applyNumberFormat="1" applyFont="1" applyFill="1" applyBorder="1" applyAlignment="1">
      <alignment vertical="top" wrapText="1"/>
    </xf>
    <xf numFmtId="10" fontId="14" fillId="8" borderId="112" xfId="8" applyNumberFormat="1" applyFont="1" applyFill="1" applyBorder="1" applyAlignment="1">
      <alignment horizontal="center" vertical="top" wrapText="1"/>
    </xf>
    <xf numFmtId="0" fontId="21" fillId="2" borderId="9" xfId="7" applyFont="1" applyFill="1" applyBorder="1"/>
    <xf numFmtId="10" fontId="8" fillId="9" borderId="112" xfId="8" applyNumberFormat="1" applyFont="1" applyFill="1" applyBorder="1" applyAlignment="1">
      <alignment horizontal="center" vertical="top" wrapText="1"/>
    </xf>
    <xf numFmtId="10" fontId="21" fillId="2" borderId="111" xfId="8" applyNumberFormat="1" applyFont="1" applyFill="1" applyBorder="1" applyAlignment="1">
      <alignment vertical="top" wrapText="1"/>
    </xf>
    <xf numFmtId="0" fontId="41" fillId="2" borderId="0" xfId="7" applyFont="1" applyFill="1" applyBorder="1" applyAlignment="1">
      <alignment horizontal="left" vertical="top" wrapText="1"/>
    </xf>
    <xf numFmtId="10" fontId="8" fillId="2" borderId="0" xfId="8" applyNumberFormat="1" applyFont="1" applyFill="1" applyBorder="1" applyAlignment="1">
      <alignment horizontal="center" vertical="top" wrapText="1"/>
    </xf>
    <xf numFmtId="3" fontId="8" fillId="2" borderId="0" xfId="7" applyNumberFormat="1" applyFont="1" applyFill="1" applyBorder="1" applyAlignment="1">
      <alignment horizontal="center" vertical="top" wrapText="1"/>
    </xf>
    <xf numFmtId="0" fontId="27" fillId="2" borderId="0" xfId="7" applyFont="1" applyFill="1" applyBorder="1"/>
    <xf numFmtId="0" fontId="21" fillId="2" borderId="0" xfId="7" applyFont="1" applyFill="1" applyBorder="1"/>
    <xf numFmtId="0" fontId="21" fillId="0" borderId="0" xfId="7" applyFont="1" applyBorder="1"/>
    <xf numFmtId="0" fontId="27" fillId="0" borderId="0" xfId="7" applyFont="1" applyBorder="1"/>
    <xf numFmtId="0" fontId="43" fillId="2" borderId="0" xfId="7" applyFont="1" applyFill="1" applyBorder="1"/>
    <xf numFmtId="0" fontId="23" fillId="2" borderId="0" xfId="7" applyFont="1" applyFill="1" applyBorder="1" applyAlignment="1">
      <alignment horizontal="left"/>
    </xf>
    <xf numFmtId="3" fontId="44" fillId="2" borderId="111" xfId="1" applyNumberFormat="1" applyFont="1" applyFill="1" applyBorder="1" applyAlignment="1">
      <alignment vertical="top" wrapText="1"/>
    </xf>
    <xf numFmtId="3" fontId="45" fillId="12" borderId="112" xfId="7" applyNumberFormat="1" applyFont="1" applyFill="1" applyBorder="1" applyAlignment="1">
      <alignment horizontal="center" vertical="top" wrapText="1"/>
    </xf>
    <xf numFmtId="3" fontId="44" fillId="3" borderId="111" xfId="7" applyNumberFormat="1" applyFont="1" applyFill="1" applyBorder="1" applyAlignment="1">
      <alignment vertical="top" wrapText="1"/>
    </xf>
    <xf numFmtId="3" fontId="45" fillId="2" borderId="112" xfId="7" applyNumberFormat="1" applyFont="1" applyFill="1" applyBorder="1" applyAlignment="1">
      <alignment horizontal="center" vertical="top" wrapText="1"/>
    </xf>
    <xf numFmtId="3" fontId="45" fillId="12" borderId="116" xfId="7" applyNumberFormat="1" applyFont="1" applyFill="1" applyBorder="1" applyAlignment="1">
      <alignment horizontal="center" vertical="top" wrapText="1"/>
    </xf>
    <xf numFmtId="3" fontId="45" fillId="12" borderId="117" xfId="7" applyNumberFormat="1" applyFont="1" applyFill="1" applyBorder="1" applyAlignment="1">
      <alignment horizontal="center" vertical="top" wrapText="1"/>
    </xf>
    <xf numFmtId="3" fontId="44" fillId="11" borderId="107" xfId="7" applyNumberFormat="1" applyFont="1" applyFill="1" applyBorder="1" applyAlignment="1">
      <alignment vertical="top" wrapText="1"/>
    </xf>
    <xf numFmtId="3" fontId="44" fillId="11" borderId="108" xfId="7" applyNumberFormat="1" applyFont="1" applyFill="1" applyBorder="1" applyAlignment="1">
      <alignment vertical="top" wrapText="1"/>
    </xf>
    <xf numFmtId="3" fontId="44" fillId="11" borderId="119" xfId="7" applyNumberFormat="1" applyFont="1" applyFill="1" applyBorder="1" applyAlignment="1">
      <alignment vertical="top" wrapText="1"/>
    </xf>
    <xf numFmtId="3" fontId="45" fillId="3" borderId="116" xfId="7" applyNumberFormat="1" applyFont="1" applyFill="1" applyBorder="1" applyAlignment="1">
      <alignment horizontal="center" vertical="top" wrapText="1"/>
    </xf>
    <xf numFmtId="0" fontId="17" fillId="2" borderId="0" xfId="7" applyFont="1" applyFill="1" applyAlignment="1">
      <alignment horizontal="left" vertical="center"/>
    </xf>
    <xf numFmtId="3" fontId="8" fillId="3" borderId="105" xfId="7" applyNumberFormat="1" applyFont="1" applyFill="1" applyBorder="1" applyAlignment="1">
      <alignment horizontal="center" vertical="top" wrapText="1"/>
    </xf>
    <xf numFmtId="10" fontId="46" fillId="2" borderId="7" xfId="8" applyNumberFormat="1" applyFont="1" applyFill="1" applyBorder="1"/>
    <xf numFmtId="10" fontId="46" fillId="2" borderId="15" xfId="8" applyNumberFormat="1" applyFont="1" applyFill="1" applyBorder="1"/>
    <xf numFmtId="0" fontId="46" fillId="2" borderId="16" xfId="7" applyFont="1" applyFill="1" applyBorder="1"/>
    <xf numFmtId="0" fontId="46" fillId="2" borderId="46" xfId="7" applyFont="1" applyFill="1" applyBorder="1"/>
    <xf numFmtId="0" fontId="0" fillId="2" borderId="26" xfId="0" applyFill="1" applyBorder="1"/>
    <xf numFmtId="0" fontId="0" fillId="2" borderId="3" xfId="0" applyFill="1" applyBorder="1"/>
    <xf numFmtId="0" fontId="0" fillId="2" borderId="27" xfId="0" applyFill="1" applyBorder="1"/>
    <xf numFmtId="0" fontId="0" fillId="18" borderId="134" xfId="0" applyNumberFormat="1" applyFill="1" applyBorder="1"/>
    <xf numFmtId="0" fontId="0" fillId="18" borderId="135" xfId="0" applyNumberFormat="1" applyFill="1" applyBorder="1"/>
    <xf numFmtId="0" fontId="0" fillId="18" borderId="136" xfId="0" applyNumberFormat="1" applyFill="1" applyBorder="1"/>
    <xf numFmtId="0" fontId="0" fillId="18" borderId="137" xfId="0" applyNumberFormat="1" applyFill="1" applyBorder="1"/>
    <xf numFmtId="0" fontId="0" fillId="18" borderId="138" xfId="0" applyNumberFormat="1" applyFill="1" applyBorder="1"/>
    <xf numFmtId="0" fontId="0" fillId="18" borderId="139" xfId="0" applyNumberFormat="1" applyFill="1" applyBorder="1"/>
    <xf numFmtId="0" fontId="0" fillId="18" borderId="140" xfId="0" applyNumberFormat="1" applyFill="1" applyBorder="1"/>
    <xf numFmtId="0" fontId="0" fillId="18" borderId="141" xfId="0" applyNumberFormat="1" applyFill="1" applyBorder="1"/>
    <xf numFmtId="0" fontId="0" fillId="18" borderId="142" xfId="0" applyNumberFormat="1" applyFill="1" applyBorder="1"/>
    <xf numFmtId="3" fontId="0" fillId="2" borderId="0" xfId="0" applyNumberFormat="1" applyFill="1"/>
    <xf numFmtId="164" fontId="0" fillId="2" borderId="0" xfId="0" applyNumberFormat="1" applyFill="1"/>
    <xf numFmtId="0" fontId="25" fillId="4" borderId="2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0" fontId="0" fillId="2" borderId="11" xfId="8" applyNumberFormat="1" applyFont="1" applyFill="1" applyBorder="1"/>
    <xf numFmtId="0" fontId="0" fillId="2" borderId="0" xfId="0" applyFill="1" applyAlignment="1">
      <alignment horizontal="center"/>
    </xf>
    <xf numFmtId="164" fontId="31" fillId="0" borderId="12" xfId="0" applyNumberFormat="1" applyFont="1" applyBorder="1"/>
    <xf numFmtId="164" fontId="31" fillId="0" borderId="13" xfId="0" applyNumberFormat="1" applyFont="1" applyBorder="1"/>
    <xf numFmtId="165" fontId="18" fillId="0" borderId="12" xfId="8" applyNumberFormat="1" applyFont="1" applyBorder="1"/>
    <xf numFmtId="165" fontId="24" fillId="4" borderId="16" xfId="0" applyNumberFormat="1" applyFont="1" applyFill="1" applyBorder="1"/>
    <xf numFmtId="165" fontId="24" fillId="4" borderId="9" xfId="0" applyNumberFormat="1" applyFont="1" applyFill="1" applyBorder="1"/>
    <xf numFmtId="165" fontId="24" fillId="4" borderId="24" xfId="0" applyNumberFormat="1" applyFont="1" applyFill="1" applyBorder="1"/>
    <xf numFmtId="10" fontId="24" fillId="0" borderId="7" xfId="8" applyNumberFormat="1" applyFont="1" applyBorder="1"/>
    <xf numFmtId="10" fontId="24" fillId="0" borderId="7" xfId="8" applyNumberFormat="1" applyFont="1" applyFill="1" applyBorder="1"/>
    <xf numFmtId="164" fontId="0" fillId="0" borderId="28" xfId="0" applyNumberFormat="1" applyBorder="1"/>
    <xf numFmtId="164" fontId="30" fillId="0" borderId="6" xfId="0" applyNumberFormat="1" applyFont="1" applyFill="1" applyBorder="1"/>
    <xf numFmtId="164" fontId="30" fillId="0" borderId="7" xfId="0" applyNumberFormat="1" applyFont="1" applyFill="1" applyBorder="1"/>
    <xf numFmtId="9" fontId="24" fillId="0" borderId="7" xfId="8" applyFont="1" applyBorder="1"/>
    <xf numFmtId="164" fontId="24" fillId="0" borderId="7" xfId="0" applyNumberFormat="1" applyFont="1" applyBorder="1"/>
    <xf numFmtId="165" fontId="24" fillId="0" borderId="7" xfId="0" applyNumberFormat="1" applyFont="1" applyBorder="1"/>
    <xf numFmtId="168" fontId="40" fillId="12" borderId="11" xfId="7" applyNumberFormat="1" applyFont="1" applyFill="1" applyBorder="1" applyAlignment="1">
      <alignment horizontal="center" vertical="top" wrapText="1"/>
    </xf>
    <xf numFmtId="169" fontId="40" fillId="12" borderId="11" xfId="7" applyNumberFormat="1" applyFont="1" applyFill="1" applyBorder="1" applyAlignment="1">
      <alignment horizontal="center" vertical="top" wrapText="1"/>
    </xf>
    <xf numFmtId="3" fontId="7" fillId="2" borderId="0" xfId="7" applyNumberFormat="1" applyFont="1" applyFill="1" applyBorder="1" applyAlignment="1">
      <alignment horizontal="justify"/>
    </xf>
    <xf numFmtId="3" fontId="8" fillId="2" borderId="0" xfId="7" applyNumberFormat="1" applyFont="1" applyFill="1" applyBorder="1" applyAlignment="1">
      <alignment horizontal="center"/>
    </xf>
    <xf numFmtId="3" fontId="21" fillId="2" borderId="0" xfId="7" applyNumberFormat="1" applyFont="1" applyFill="1"/>
    <xf numFmtId="164" fontId="24" fillId="2" borderId="5" xfId="0" applyNumberFormat="1" applyFont="1" applyFill="1" applyBorder="1"/>
    <xf numFmtId="43" fontId="0" fillId="2" borderId="3" xfId="0" applyNumberFormat="1" applyFill="1" applyBorder="1"/>
    <xf numFmtId="164" fontId="0" fillId="2" borderId="24" xfId="0" applyNumberFormat="1" applyFill="1" applyBorder="1"/>
    <xf numFmtId="10" fontId="18" fillId="2" borderId="7" xfId="8" applyNumberFormat="1" applyFont="1" applyFill="1" applyBorder="1"/>
    <xf numFmtId="10" fontId="18" fillId="2" borderId="24" xfId="8" applyNumberFormat="1" applyFont="1" applyFill="1" applyBorder="1"/>
    <xf numFmtId="0" fontId="32" fillId="2" borderId="0" xfId="0" applyFont="1" applyFill="1"/>
    <xf numFmtId="164" fontId="18" fillId="2" borderId="0" xfId="3" applyNumberFormat="1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164" fontId="18" fillId="2" borderId="0" xfId="3" applyNumberFormat="1" applyFont="1" applyFill="1"/>
    <xf numFmtId="164" fontId="0" fillId="2" borderId="0" xfId="0" applyNumberFormat="1" applyFill="1" applyAlignment="1"/>
    <xf numFmtId="9" fontId="18" fillId="2" borderId="0" xfId="8" applyFont="1" applyFill="1" applyAlignment="1">
      <alignment horizontal="left"/>
    </xf>
    <xf numFmtId="9" fontId="18" fillId="2" borderId="0" xfId="8" applyFont="1" applyFill="1" applyAlignment="1"/>
    <xf numFmtId="165" fontId="18" fillId="2" borderId="0" xfId="8" applyNumberFormat="1" applyFont="1" applyFill="1"/>
    <xf numFmtId="165" fontId="0" fillId="2" borderId="0" xfId="0" applyNumberFormat="1" applyFill="1"/>
    <xf numFmtId="0" fontId="24" fillId="0" borderId="0" xfId="0" applyFont="1"/>
    <xf numFmtId="0" fontId="21" fillId="2" borderId="43" xfId="7" applyFont="1" applyFill="1" applyBorder="1"/>
    <xf numFmtId="165" fontId="21" fillId="2" borderId="43" xfId="8" applyNumberFormat="1" applyFont="1" applyFill="1" applyBorder="1"/>
    <xf numFmtId="170" fontId="21" fillId="2" borderId="0" xfId="8" applyNumberFormat="1" applyFont="1" applyFill="1"/>
    <xf numFmtId="0" fontId="0" fillId="0" borderId="0" xfId="0" applyFill="1"/>
    <xf numFmtId="0" fontId="44" fillId="2" borderId="0" xfId="7" applyFont="1" applyFill="1"/>
    <xf numFmtId="0" fontId="45" fillId="2" borderId="0" xfId="7" applyFont="1" applyFill="1"/>
    <xf numFmtId="0" fontId="44" fillId="2" borderId="56" xfId="7" applyFont="1" applyFill="1" applyBorder="1"/>
    <xf numFmtId="164" fontId="0" fillId="17" borderId="12" xfId="0" applyNumberFormat="1" applyFill="1" applyBorder="1"/>
    <xf numFmtId="164" fontId="0" fillId="17" borderId="13" xfId="0" applyNumberFormat="1" applyFill="1" applyBorder="1"/>
    <xf numFmtId="164" fontId="24" fillId="17" borderId="7" xfId="0" applyNumberFormat="1" applyFont="1" applyFill="1" applyBorder="1"/>
    <xf numFmtId="164" fontId="24" fillId="17" borderId="11" xfId="0" applyNumberFormat="1" applyFont="1" applyFill="1" applyBorder="1"/>
    <xf numFmtId="164" fontId="0" fillId="17" borderId="28" xfId="0" applyNumberFormat="1" applyFill="1" applyBorder="1"/>
    <xf numFmtId="164" fontId="24" fillId="17" borderId="5" xfId="0" applyNumberFormat="1" applyFont="1" applyFill="1" applyBorder="1"/>
    <xf numFmtId="43" fontId="0" fillId="17" borderId="3" xfId="0" applyNumberFormat="1" applyFill="1" applyBorder="1"/>
    <xf numFmtId="10" fontId="18" fillId="17" borderId="11" xfId="8" applyNumberFormat="1" applyFont="1" applyFill="1" applyBorder="1"/>
    <xf numFmtId="10" fontId="24" fillId="17" borderId="7" xfId="8" applyNumberFormat="1" applyFont="1" applyFill="1" applyBorder="1"/>
    <xf numFmtId="10" fontId="18" fillId="17" borderId="14" xfId="8" applyNumberFormat="1" applyFont="1" applyFill="1" applyBorder="1"/>
    <xf numFmtId="10" fontId="18" fillId="17" borderId="7" xfId="8" applyNumberFormat="1" applyFont="1" applyFill="1" applyBorder="1"/>
    <xf numFmtId="165" fontId="18" fillId="17" borderId="20" xfId="8" applyNumberFormat="1" applyFont="1" applyFill="1" applyBorder="1"/>
    <xf numFmtId="165" fontId="18" fillId="17" borderId="22" xfId="8" applyNumberFormat="1" applyFont="1" applyFill="1" applyBorder="1"/>
    <xf numFmtId="9" fontId="24" fillId="17" borderId="15" xfId="8" applyFont="1" applyFill="1" applyBorder="1"/>
    <xf numFmtId="165" fontId="24" fillId="17" borderId="15" xfId="0" applyNumberFormat="1" applyFont="1" applyFill="1" applyBorder="1"/>
    <xf numFmtId="164" fontId="24" fillId="8" borderId="0" xfId="0" applyNumberFormat="1" applyFont="1" applyFill="1"/>
    <xf numFmtId="16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24" fillId="0" borderId="9" xfId="0" applyFont="1" applyBorder="1"/>
    <xf numFmtId="164" fontId="24" fillId="0" borderId="38" xfId="0" applyNumberFormat="1" applyFont="1" applyBorder="1"/>
    <xf numFmtId="164" fontId="0" fillId="0" borderId="143" xfId="1" applyNumberFormat="1" applyFont="1" applyBorder="1" applyAlignment="1">
      <alignment horizontal="center"/>
    </xf>
    <xf numFmtId="164" fontId="0" fillId="0" borderId="144" xfId="1" applyNumberFormat="1" applyFont="1" applyBorder="1" applyAlignment="1">
      <alignment horizontal="center"/>
    </xf>
    <xf numFmtId="164" fontId="0" fillId="0" borderId="59" xfId="1" applyNumberFormat="1" applyFont="1" applyBorder="1" applyAlignment="1">
      <alignment horizontal="center"/>
    </xf>
    <xf numFmtId="164" fontId="0" fillId="0" borderId="48" xfId="1" applyNumberFormat="1" applyFont="1" applyBorder="1" applyAlignment="1">
      <alignment horizontal="center"/>
    </xf>
    <xf numFmtId="164" fontId="0" fillId="0" borderId="145" xfId="1" applyNumberFormat="1" applyFont="1" applyBorder="1" applyAlignment="1">
      <alignment horizontal="center"/>
    </xf>
    <xf numFmtId="164" fontId="0" fillId="0" borderId="49" xfId="1" applyNumberFormat="1" applyFont="1" applyBorder="1" applyAlignment="1">
      <alignment horizontal="center"/>
    </xf>
    <xf numFmtId="164" fontId="0" fillId="0" borderId="51" xfId="1" applyNumberFormat="1" applyFont="1" applyBorder="1" applyAlignment="1">
      <alignment horizontal="center"/>
    </xf>
    <xf numFmtId="164" fontId="0" fillId="0" borderId="146" xfId="1" applyNumberFormat="1" applyFont="1" applyBorder="1" applyAlignment="1">
      <alignment horizontal="center"/>
    </xf>
    <xf numFmtId="164" fontId="0" fillId="0" borderId="147" xfId="1" applyNumberFormat="1" applyFont="1" applyBorder="1" applyAlignment="1">
      <alignment horizontal="center"/>
    </xf>
    <xf numFmtId="164" fontId="24" fillId="0" borderId="146" xfId="1" applyNumberFormat="1" applyFont="1" applyBorder="1" applyAlignment="1">
      <alignment horizontal="center"/>
    </xf>
    <xf numFmtId="0" fontId="8" fillId="2" borderId="11" xfId="7" applyFont="1" applyFill="1" applyBorder="1" applyAlignment="1" applyProtection="1">
      <alignment horizontal="center" vertical="center"/>
      <protection locked="0"/>
    </xf>
    <xf numFmtId="0" fontId="23" fillId="10" borderId="126" xfId="7" applyFont="1" applyFill="1" applyBorder="1" applyAlignment="1">
      <alignment horizontal="center" vertical="center" wrapText="1"/>
    </xf>
    <xf numFmtId="0" fontId="23" fillId="10" borderId="127" xfId="7" applyFont="1" applyFill="1" applyBorder="1" applyAlignment="1">
      <alignment horizontal="center" vertical="center" wrapText="1"/>
    </xf>
    <xf numFmtId="0" fontId="23" fillId="10" borderId="128" xfId="7" applyFont="1" applyFill="1" applyBorder="1" applyAlignment="1">
      <alignment horizontal="center" vertical="center" wrapText="1"/>
    </xf>
    <xf numFmtId="0" fontId="23" fillId="10" borderId="129" xfId="7" applyFont="1" applyFill="1" applyBorder="1" applyAlignment="1">
      <alignment horizontal="center" vertical="center" wrapText="1"/>
    </xf>
    <xf numFmtId="0" fontId="23" fillId="10" borderId="130" xfId="7" applyFont="1" applyFill="1" applyBorder="1" applyAlignment="1">
      <alignment horizontal="center" vertical="top" wrapText="1"/>
    </xf>
    <xf numFmtId="0" fontId="23" fillId="10" borderId="131" xfId="7" applyFont="1" applyFill="1" applyBorder="1" applyAlignment="1">
      <alignment horizontal="center" vertical="top" wrapText="1"/>
    </xf>
    <xf numFmtId="0" fontId="23" fillId="10" borderId="132" xfId="7" applyFont="1" applyFill="1" applyBorder="1" applyAlignment="1">
      <alignment horizontal="center" vertical="top" wrapText="1"/>
    </xf>
    <xf numFmtId="0" fontId="23" fillId="10" borderId="111" xfId="7" applyFont="1" applyFill="1" applyBorder="1" applyAlignment="1">
      <alignment horizontal="center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23" fillId="2" borderId="0" xfId="7" applyFont="1" applyFill="1" applyBorder="1" applyAlignment="1">
      <alignment horizontal="center" vertical="center" textRotation="90" wrapText="1"/>
    </xf>
    <xf numFmtId="0" fontId="23" fillId="2" borderId="123" xfId="7" applyFont="1" applyFill="1" applyBorder="1" applyAlignment="1">
      <alignment horizontal="left" vertical="center" wrapText="1"/>
    </xf>
    <xf numFmtId="0" fontId="23" fillId="2" borderId="1" xfId="7" applyFont="1" applyFill="1" applyBorder="1" applyAlignment="1">
      <alignment horizontal="left" vertical="center" wrapText="1"/>
    </xf>
    <xf numFmtId="0" fontId="23" fillId="2" borderId="124" xfId="7" applyFont="1" applyFill="1" applyBorder="1" applyAlignment="1">
      <alignment horizontal="left" vertical="center" wrapText="1"/>
    </xf>
    <xf numFmtId="0" fontId="40" fillId="10" borderId="114" xfId="7" applyFont="1" applyFill="1" applyBorder="1" applyAlignment="1">
      <alignment horizontal="left" vertical="top" wrapText="1"/>
    </xf>
    <xf numFmtId="0" fontId="40" fillId="10" borderId="125" xfId="7" applyFont="1" applyFill="1" applyBorder="1" applyAlignment="1">
      <alignment horizontal="left" vertical="top" wrapText="1"/>
    </xf>
    <xf numFmtId="0" fontId="40" fillId="10" borderId="2" xfId="7" applyFont="1" applyFill="1" applyBorder="1" applyAlignment="1">
      <alignment horizontal="left" vertical="top" wrapText="1"/>
    </xf>
    <xf numFmtId="0" fontId="40" fillId="10" borderId="115" xfId="7" applyFont="1" applyFill="1" applyBorder="1" applyAlignment="1">
      <alignment horizontal="left" vertical="top" wrapText="1"/>
    </xf>
    <xf numFmtId="0" fontId="47" fillId="8" borderId="120" xfId="7" applyFont="1" applyFill="1" applyBorder="1" applyAlignment="1">
      <alignment horizontal="center" vertical="center"/>
    </xf>
    <xf numFmtId="0" fontId="23" fillId="2" borderId="1" xfId="7" applyFont="1" applyFill="1" applyBorder="1" applyAlignment="1">
      <alignment horizontal="center" vertical="center" textRotation="90" wrapText="1"/>
    </xf>
    <xf numFmtId="0" fontId="23" fillId="10" borderId="121" xfId="7" applyFont="1" applyFill="1" applyBorder="1" applyAlignment="1">
      <alignment horizontal="center" vertical="center" wrapText="1"/>
    </xf>
    <xf numFmtId="0" fontId="23" fillId="10" borderId="122" xfId="7" applyFont="1" applyFill="1" applyBorder="1" applyAlignment="1">
      <alignment horizontal="center" vertical="center" wrapText="1"/>
    </xf>
    <xf numFmtId="0" fontId="41" fillId="8" borderId="2" xfId="7" applyFont="1" applyFill="1" applyBorder="1" applyAlignment="1">
      <alignment horizontal="left" vertical="top" wrapText="1"/>
    </xf>
    <xf numFmtId="0" fontId="41" fillId="8" borderId="115" xfId="7" applyFont="1" applyFill="1" applyBorder="1" applyAlignment="1">
      <alignment horizontal="left"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33" xfId="7" applyFont="1" applyFill="1" applyBorder="1" applyAlignment="1">
      <alignment horizontal="center" vertical="center" wrapText="1"/>
    </xf>
    <xf numFmtId="0" fontId="23" fillId="10" borderId="59" xfId="7" applyFont="1" applyFill="1" applyBorder="1" applyAlignment="1">
      <alignment horizontal="center" vertical="center" wrapText="1"/>
    </xf>
    <xf numFmtId="0" fontId="23" fillId="10" borderId="60" xfId="7" applyFont="1" applyFill="1" applyBorder="1" applyAlignment="1">
      <alignment horizontal="center" vertical="center" wrapText="1"/>
    </xf>
    <xf numFmtId="0" fontId="23" fillId="2" borderId="48" xfId="7" applyFont="1" applyFill="1" applyBorder="1" applyAlignment="1">
      <alignment horizontal="left" vertical="center" wrapText="1"/>
    </xf>
    <xf numFmtId="0" fontId="48" fillId="8" borderId="57" xfId="0" applyFont="1" applyFill="1" applyBorder="1" applyAlignment="1">
      <alignment horizontal="center" vertical="center" wrapText="1"/>
    </xf>
    <xf numFmtId="0" fontId="48" fillId="8" borderId="58" xfId="0" applyFont="1" applyFill="1" applyBorder="1" applyAlignment="1">
      <alignment horizontal="center" vertical="center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9" xfId="7" applyFont="1" applyFill="1" applyBorder="1" applyAlignment="1">
      <alignment horizontal="center" vertical="center" wrapText="1"/>
    </xf>
    <xf numFmtId="0" fontId="23" fillId="10" borderId="14" xfId="7" applyFont="1" applyFill="1" applyBorder="1" applyAlignment="1">
      <alignment horizontal="center" vertical="center" wrapText="1"/>
    </xf>
    <xf numFmtId="0" fontId="23" fillId="10" borderId="43" xfId="7" applyFont="1" applyFill="1" applyBorder="1" applyAlignment="1">
      <alignment horizontal="center" vertical="center" wrapText="1"/>
    </xf>
    <xf numFmtId="0" fontId="23" fillId="10" borderId="25" xfId="7" applyFont="1" applyFill="1" applyBorder="1" applyAlignment="1">
      <alignment horizontal="center" vertical="center" wrapText="1"/>
    </xf>
    <xf numFmtId="0" fontId="23" fillId="10" borderId="61" xfId="7" applyFont="1" applyFill="1" applyBorder="1" applyAlignment="1">
      <alignment horizontal="center" vertical="center" wrapText="1"/>
    </xf>
    <xf numFmtId="0" fontId="23" fillId="10" borderId="47" xfId="7" applyFont="1" applyFill="1" applyBorder="1" applyAlignment="1">
      <alignment horizontal="center" vertical="center" wrapText="1"/>
    </xf>
    <xf numFmtId="0" fontId="23" fillId="10" borderId="10" xfId="7" applyFont="1" applyFill="1" applyBorder="1" applyAlignment="1">
      <alignment horizontal="center" vertical="center" wrapText="1"/>
    </xf>
    <xf numFmtId="0" fontId="23" fillId="10" borderId="36" xfId="7" applyFont="1" applyFill="1" applyBorder="1" applyAlignment="1">
      <alignment horizontal="center" vertical="center" wrapText="1"/>
    </xf>
    <xf numFmtId="0" fontId="23" fillId="10" borderId="44" xfId="7" applyFont="1" applyFill="1" applyBorder="1" applyAlignment="1">
      <alignment horizontal="center" vertical="center" wrapText="1"/>
    </xf>
    <xf numFmtId="0" fontId="23" fillId="10" borderId="42" xfId="7" applyFont="1" applyFill="1" applyBorder="1" applyAlignment="1">
      <alignment horizontal="center" vertical="center" wrapText="1"/>
    </xf>
    <xf numFmtId="0" fontId="23" fillId="10" borderId="41" xfId="7" applyFont="1" applyFill="1" applyBorder="1" applyAlignment="1">
      <alignment horizontal="center" vertical="center" wrapText="1"/>
    </xf>
    <xf numFmtId="0" fontId="23" fillId="10" borderId="32" xfId="7" applyFont="1" applyFill="1" applyBorder="1" applyAlignment="1">
      <alignment horizontal="center" vertical="center" wrapText="1"/>
    </xf>
    <xf numFmtId="0" fontId="23" fillId="10" borderId="12" xfId="7" applyFont="1" applyFill="1" applyBorder="1" applyAlignment="1">
      <alignment horizontal="center" vertical="center" wrapText="1"/>
    </xf>
    <xf numFmtId="0" fontId="23" fillId="10" borderId="49" xfId="7" applyFont="1" applyFill="1" applyBorder="1" applyAlignment="1">
      <alignment horizontal="center" vertical="center" wrapText="1"/>
    </xf>
    <xf numFmtId="0" fontId="23" fillId="10" borderId="23" xfId="7" applyFont="1" applyFill="1" applyBorder="1" applyAlignment="1">
      <alignment horizontal="center" vertical="center" wrapText="1"/>
    </xf>
    <xf numFmtId="0" fontId="40" fillId="10" borderId="1" xfId="7" applyFont="1" applyFill="1" applyBorder="1" applyAlignment="1">
      <alignment horizontal="left" vertical="top" wrapText="1"/>
    </xf>
    <xf numFmtId="0" fontId="40" fillId="10" borderId="129" xfId="7" applyFont="1" applyFill="1" applyBorder="1" applyAlignment="1">
      <alignment horizontal="left" vertical="top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 wrapText="1"/>
    </xf>
    <xf numFmtId="0" fontId="23" fillId="16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/>
    </xf>
    <xf numFmtId="0" fontId="25" fillId="4" borderId="37" xfId="0" applyFont="1" applyFill="1" applyBorder="1" applyAlignment="1">
      <alignment horizontal="center" vertical="center" wrapText="1"/>
    </xf>
    <xf numFmtId="0" fontId="25" fillId="4" borderId="43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24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25" fillId="4" borderId="34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</cellXfs>
  <cellStyles count="10">
    <cellStyle name="Dziesiętny" xfId="1" builtinId="3"/>
    <cellStyle name="Dziesiętny 2" xfId="2"/>
    <cellStyle name="Dziesiętny 2 2" xfId="3"/>
    <cellStyle name="Dziesiętny 3" xfId="4"/>
    <cellStyle name="Normal" xfId="9"/>
    <cellStyle name="Normalny" xfId="0" builtinId="0"/>
    <cellStyle name="Normalny 2" xfId="5"/>
    <cellStyle name="Normalny 3" xfId="6"/>
    <cellStyle name="Normalny 6" xfId="7"/>
    <cellStyle name="Procentowy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541"/>
          <c:h val="0.87654532345998204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SUM_PGN!$C$5:$E$5</c:f>
              <c:numCache>
                <c:formatCode>_-* #,##0\ _z_ł_-;\-* #,##0\ _z_ł_-;_-* "-"??\ _z_ł_-;_-@_-</c:formatCode>
                <c:ptCount val="3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SUM_PGN!$C$6:$E$6</c:f>
              <c:numCache>
                <c:formatCode>_-* #,##0\ _z_ł_-;\-* #,##0\ _z_ł_-;_-* "-"??\ _z_ł_-;_-@_-</c:formatCode>
                <c:ptCount val="3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SUM_PGN!$C$7:$E$7</c:f>
              <c:numCache>
                <c:formatCode>_-* #,##0\ _z_ł_-;\-* #,##0\ _z_ł_-;_-* "-"??\ _z_ł_-;_-@_-</c:formatCode>
                <c:ptCount val="3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SUM_PGN!$C$8:$E$8</c:f>
              <c:numCache>
                <c:formatCode>_-* #,##0\ _z_ł_-;\-* #,##0\ _z_ł_-;_-* "-"??\ _z_ł_-;_-@_-</c:formatCode>
                <c:ptCount val="3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SUM_PGN!$C$9:$E$9</c:f>
              <c:numCache>
                <c:formatCode>_-* #,##0\ _z_ł_-;\-* #,##0\ _z_ł_-;_-* "-"??\ _z_ł_-;_-@_-</c:formatCode>
                <c:ptCount val="3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0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SUM_PGN!$C$10:$E$10</c:f>
              <c:numCache>
                <c:formatCode>_-* #,##0\ _z_ł_-;\-* #,##0\ _z_ł_-;_-* "-"??\ _z_ł_-;_-@_-</c:formatCode>
                <c:ptCount val="3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515-855B-A6851241032F}"/>
            </c:ext>
          </c:extLst>
        </c:ser>
        <c:ser>
          <c:idx val="7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SUM_PGN!$C$11:$E$11</c:f>
              <c:numCache>
                <c:formatCode>_-* #,##0\ _z_ł_-;\-* #,##0\ _z_ł_-;_-* "-"??\ _z_ł_-;_-@_-</c:formatCode>
                <c:ptCount val="3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1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SUM_PGN!$C$12:$E$12</c:f>
              <c:numCache>
                <c:formatCode>_-* #,##0\ _z_ł_-;\-* #,##0\ _z_ł_-;_-* "-"??\ _z_ł_-;_-@_-</c:formatCode>
                <c:ptCount val="3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7-4515-855B-A6851241032F}"/>
            </c:ext>
          </c:extLst>
        </c:ser>
        <c:ser>
          <c:idx val="8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SUM_PGN!$C$13:$E$13</c:f>
              <c:numCache>
                <c:formatCode>_-* #,##0\ _z_ł_-;\-* #,##0\ _z_ł_-;_-* "-"??\ _z_ł_-;_-@_-</c:formatCode>
                <c:ptCount val="3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SUM_PGN!$C$4:$E$4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SUM_PGN!$C$14:$E$14</c:f>
              <c:numCache>
                <c:formatCode>_-* #,##0\ _z_ł_-;\-* #,##0\ _z_ł_-;_-* "-"??\ _z_ł_-;_-@_-</c:formatCode>
                <c:ptCount val="3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81025664"/>
        <c:axId val="81052800"/>
      </c:barChart>
      <c:catAx>
        <c:axId val="81025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52800"/>
        <c:crosses val="autoZero"/>
        <c:auto val="1"/>
        <c:lblAlgn val="ctr"/>
        <c:lblOffset val="100"/>
      </c:catAx>
      <c:valAx>
        <c:axId val="81052800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2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SUM_PGN!$H$4:$J$4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SUM_PGN!$H$5:$J$5</c:f>
              <c:numCache>
                <c:formatCode>0.0%</c:formatCode>
                <c:ptCount val="3"/>
                <c:pt idx="0">
                  <c:v>0.36838253814093824</c:v>
                </c:pt>
                <c:pt idx="1">
                  <c:v>0.35754094299532718</c:v>
                </c:pt>
                <c:pt idx="2">
                  <c:v>0.31628852503135829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SUM_PGN!$H$4:$J$4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SUM_PGN!$H$6:$J$6</c:f>
              <c:numCache>
                <c:formatCode>0.0%</c:formatCode>
                <c:ptCount val="3"/>
                <c:pt idx="0">
                  <c:v>0.12089985561430258</c:v>
                </c:pt>
                <c:pt idx="1">
                  <c:v>0.25600304995613044</c:v>
                </c:pt>
                <c:pt idx="2">
                  <c:v>0.24694611181330167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283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SUM_PGN!$H$4:$J$4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SUM_PGN!$H$7:$J$7</c:f>
              <c:numCache>
                <c:formatCode>0.0%</c:formatCode>
                <c:ptCount val="3"/>
                <c:pt idx="0">
                  <c:v>9.6480326541781153E-3</c:v>
                </c:pt>
                <c:pt idx="1">
                  <c:v>7.6784346132332979E-3</c:v>
                </c:pt>
                <c:pt idx="2">
                  <c:v>7.1371930853185569E-3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SUM_PGN!$H$4:$J$4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SUM_PGN!$H$8:$J$8</c:f>
              <c:numCache>
                <c:formatCode>0.0%</c:formatCode>
                <c:ptCount val="3"/>
                <c:pt idx="0">
                  <c:v>9.4420990550147854E-2</c:v>
                </c:pt>
                <c:pt idx="1">
                  <c:v>0.21639475514174528</c:v>
                </c:pt>
                <c:pt idx="2">
                  <c:v>0.23580154652800139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283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14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14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SUM_PGN!$H$4:$J$4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SUM_PGN!$H$9:$J$9</c:f>
              <c:numCache>
                <c:formatCode>0.0%</c:formatCode>
                <c:ptCount val="3"/>
                <c:pt idx="0">
                  <c:v>2.4623099431267538E-2</c:v>
                </c:pt>
                <c:pt idx="1">
                  <c:v>1.5179230883425585E-2</c:v>
                </c:pt>
                <c:pt idx="2">
                  <c:v>1.6033573786879023E-2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SUM_PGN!$H$10:$J$10</c:f>
              <c:numCache>
                <c:formatCode>0.0%</c:formatCode>
                <c:ptCount val="3"/>
                <c:pt idx="0">
                  <c:v>0</c:v>
                </c:pt>
                <c:pt idx="1">
                  <c:v>2.6307939859424416E-2</c:v>
                </c:pt>
                <c:pt idx="2">
                  <c:v>3.0862557009597315E-2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1-4201-8F4C-65FE0DAD4655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468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37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SUM_PGN!$H$4:$J$4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SUM_PGN!$H$11:$J$11</c:f>
              <c:numCache>
                <c:formatCode>0.0%</c:formatCode>
                <c:ptCount val="3"/>
                <c:pt idx="0">
                  <c:v>0.29912155866070606</c:v>
                </c:pt>
                <c:pt idx="1">
                  <c:v>0.11794036958886719</c:v>
                </c:pt>
                <c:pt idx="2">
                  <c:v>0.14415462396493639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SUM_PGN!$H$12:$J$12</c:f>
              <c:numCache>
                <c:formatCode>0.0%</c:formatCode>
                <c:ptCount val="3"/>
                <c:pt idx="0">
                  <c:v>3.503400267626612E-5</c:v>
                </c:pt>
                <c:pt idx="1">
                  <c:v>2.2290969307863106E-5</c:v>
                </c:pt>
                <c:pt idx="2">
                  <c:v>2.3308454961817387E-5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1-4201-8F4C-65FE0DAD4655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37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8007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8982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SUM_PGN!$H$13:$J$13</c:f>
              <c:numCache>
                <c:formatCode>0.0%</c:formatCode>
                <c:ptCount val="3"/>
                <c:pt idx="0">
                  <c:v>8.0989907512305948E-2</c:v>
                </c:pt>
                <c:pt idx="1">
                  <c:v>3.8471455379684148E-3</c:v>
                </c:pt>
                <c:pt idx="2">
                  <c:v>3.9607552900581032E-3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5804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286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SUM_PGN!$H$14:$J$14</c:f>
              <c:numCache>
                <c:formatCode>0.0%</c:formatCode>
                <c:ptCount val="3"/>
                <c:pt idx="0">
                  <c:v>1.8789834334773734E-3</c:v>
                </c:pt>
                <c:pt idx="1">
                  <c:v>-9.1415954542968482E-4</c:v>
                </c:pt>
                <c:pt idx="2">
                  <c:v>-1.2081949644125549E-3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81189888"/>
        <c:axId val="82252544"/>
      </c:barChart>
      <c:catAx>
        <c:axId val="811898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2544"/>
        <c:crosses val="autoZero"/>
        <c:lblAlgn val="ctr"/>
        <c:lblOffset val="100"/>
      </c:catAx>
      <c:valAx>
        <c:axId val="82252544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89888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0223787821"/>
          <c:y val="2.9996175408919287E-2"/>
          <c:w val="0.49498368175794544"/>
          <c:h val="0.86666892361698911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SUM_PGN!$C$20:$E$20</c:f>
              <c:numCache>
                <c:formatCode>General</c:formatCode>
                <c:ptCount val="3"/>
                <c:pt idx="0">
                  <c:v>183951</c:v>
                </c:pt>
                <c:pt idx="1">
                  <c:v>394350</c:v>
                </c:pt>
                <c:pt idx="2" formatCode="_-* #,##0\ _z_ł_-;\-* #,##0\ _z_ł_-;_-* &quot;-&quot;??\ _z_ł_-;_-@_-">
                  <c:v>348252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SUM_PGN!$C$21:$E$21</c:f>
              <c:numCache>
                <c:formatCode>General</c:formatCode>
                <c:ptCount val="3"/>
                <c:pt idx="0">
                  <c:v>14616</c:v>
                </c:pt>
                <c:pt idx="1">
                  <c:v>0</c:v>
                </c:pt>
                <c:pt idx="2" formatCode="_-* #,##0\ _z_ł_-;\-* #,##0\ _z_ł_-;_-* &quot;-&quot;??\ _z_ł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miejski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SUM_PGN!$C$22:$E$22</c:f>
              <c:numCache>
                <c:formatCode>General</c:formatCode>
                <c:ptCount val="3"/>
                <c:pt idx="0">
                  <c:v>58461</c:v>
                </c:pt>
                <c:pt idx="1">
                  <c:v>0</c:v>
                </c:pt>
                <c:pt idx="2" formatCode="_-* #,##0\ _z_ł_-;\-* #,##0\ _z_ł_-;_-* &quot;-&quot;??\ _z_ł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SUM_PGN!$C$23:$E$23</c:f>
              <c:numCache>
                <c:formatCode>General</c:formatCode>
                <c:ptCount val="3"/>
                <c:pt idx="0">
                  <c:v>0</c:v>
                </c:pt>
                <c:pt idx="1">
                  <c:v>56208</c:v>
                </c:pt>
                <c:pt idx="2" formatCode="_-* #,##0\ _z_ł_-;\-* #,##0\ _z_ł_-;_-* &quot;-&quot;??\ _z_ł_-;_-@_-">
                  <c:v>55972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SUM_PGN!$C$24:$E$24</c:f>
              <c:numCache>
                <c:formatCode>General</c:formatCode>
                <c:ptCount val="3"/>
                <c:pt idx="0">
                  <c:v>0</c:v>
                </c:pt>
                <c:pt idx="1">
                  <c:v>8817</c:v>
                </c:pt>
                <c:pt idx="2" formatCode="_-* #,##0\ _z_ł_-;\-* #,##0\ _z_ł_-;_-* &quot;-&quot;??\ _z_ł_-;_-@_-">
                  <c:v>9661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SUM_PGN!$C$25:$E$25</c:f>
              <c:numCache>
                <c:formatCode>General</c:formatCode>
                <c:ptCount val="3"/>
                <c:pt idx="0">
                  <c:v>168662</c:v>
                </c:pt>
                <c:pt idx="1">
                  <c:v>511866</c:v>
                </c:pt>
                <c:pt idx="2" formatCode="_-* #,##0\ _z_ł_-;\-* #,##0\ _z_ł_-;_-* &quot;-&quot;??\ _z_ł_-;_-@_-">
                  <c:v>531282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SUM_PGN!$C$26:$E$26</c:f>
              <c:numCache>
                <c:formatCode>General</c:formatCode>
                <c:ptCount val="3"/>
                <c:pt idx="0">
                  <c:v>292005</c:v>
                </c:pt>
                <c:pt idx="1">
                  <c:v>384160</c:v>
                </c:pt>
                <c:pt idx="2" formatCode="_-* #,##0\ _z_ł_-;\-* #,##0\ _z_ł_-;_-* &quot;-&quot;??\ _z_ł_-;_-@_-">
                  <c:v>402530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12"/>
          <c:order val="7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val>
            <c:numRef>
              <c:f>SUM_PGN!$C$27:$E$27</c:f>
              <c:numCache>
                <c:formatCode>General</c:formatCode>
                <c:ptCount val="3"/>
                <c:pt idx="0">
                  <c:v>0</c:v>
                </c:pt>
                <c:pt idx="1">
                  <c:v>114480</c:v>
                </c:pt>
                <c:pt idx="2" formatCode="_-* #,##0\ _z_ł_-;\-* #,##0\ _z_ł_-;_-* &quot;-&quot;??\ _z_ł_-;_-@_-">
                  <c:v>128437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5-4343-9045-01248103D879}"/>
            </c:ext>
          </c:extLst>
        </c:ser>
        <c:ser>
          <c:idx val="7"/>
          <c:order val="8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SUM_PGN!$C$28:$E$28</c:f>
              <c:numCache>
                <c:formatCode>General</c:formatCode>
                <c:ptCount val="3"/>
                <c:pt idx="0">
                  <c:v>226256</c:v>
                </c:pt>
                <c:pt idx="1">
                  <c:v>33579</c:v>
                </c:pt>
                <c:pt idx="2" formatCode="_-* #,##0\ _z_ł_-;\-* #,##0\ _z_ł_-;_-* &quot;-&quot;??\ _z_ł_-;_-@_-">
                  <c:v>33261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9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SUM_PGN!$C$29:$E$29</c:f>
              <c:numCache>
                <c:formatCode>General</c:formatCode>
                <c:ptCount val="3"/>
                <c:pt idx="0">
                  <c:v>561871</c:v>
                </c:pt>
                <c:pt idx="1">
                  <c:v>270881</c:v>
                </c:pt>
                <c:pt idx="2" formatCode="_-* #,##0\ _z_ł_-;\-* #,##0\ _z_ł_-;_-* &quot;-&quot;??\ _z_ł_-;_-@_-">
                  <c:v>224563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13"/>
          <c:order val="10"/>
          <c:tx>
            <c:strRef>
              <c:f>SUM_PGN!$B$30</c:f>
              <c:strCache>
                <c:ptCount val="1"/>
                <c:pt idx="0">
                  <c:v>Drewno</c:v>
                </c:pt>
              </c:strCache>
            </c:strRef>
          </c:tx>
          <c:val>
            <c:numRef>
              <c:f>SUM_PGN!$C$30:$E$30</c:f>
              <c:numCache>
                <c:formatCode>General</c:formatCode>
                <c:ptCount val="3"/>
                <c:pt idx="0">
                  <c:v>22009</c:v>
                </c:pt>
                <c:pt idx="1">
                  <c:v>15815</c:v>
                </c:pt>
                <c:pt idx="2" formatCode="_-* #,##0\ _z_ł_-;\-* #,##0\ _z_ł_-;_-* &quot;-&quot;??\ _z_ł_-;_-@_-">
                  <c:v>11178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55-4343-9045-01248103D879}"/>
            </c:ext>
          </c:extLst>
        </c:ser>
        <c:ser>
          <c:idx val="9"/>
          <c:order val="11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SUM_PGN!$C$31:$E$31</c:f>
              <c:numCache>
                <c:formatCode>General</c:formatCode>
                <c:ptCount val="3"/>
                <c:pt idx="0">
                  <c:v>1579399</c:v>
                </c:pt>
                <c:pt idx="1">
                  <c:v>1768917</c:v>
                </c:pt>
                <c:pt idx="2" formatCode="_-* #,##0\ _z_ł_-;\-* #,##0\ _z_ł_-;_-* &quot;-&quot;??\ _z_ł_-;_-@_-">
                  <c:v>1756244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2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SUM_PGN!$C$19:$E$19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SUM_PGN!$C$32:$E$32</c:f>
              <c:numCache>
                <c:formatCode>General</c:formatCode>
                <c:ptCount val="3"/>
                <c:pt idx="0">
                  <c:v>1320000</c:v>
                </c:pt>
                <c:pt idx="1">
                  <c:v>782491</c:v>
                </c:pt>
                <c:pt idx="2" formatCode="_-* #,##0\ _z_ł_-;\-* #,##0\ _z_ł_-;_-* &quot;-&quot;??\ _z_ł_-;_-@_-">
                  <c:v>652343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3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SUM_PGN!$C$36:$E$36</c:f>
              <c:numCache>
                <c:formatCode>_-* #,##0\ _z_ł_-;\-* #,##0\ _z_ł_-;_-* "-"??\ _z_ł_-;_-@_-</c:formatCode>
                <c:ptCount val="3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82610432"/>
        <c:axId val="82620800"/>
      </c:barChart>
      <c:catAx>
        <c:axId val="826104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0800"/>
        <c:crosses val="autoZero"/>
        <c:auto val="1"/>
        <c:lblAlgn val="ctr"/>
        <c:lblOffset val="100"/>
      </c:catAx>
      <c:valAx>
        <c:axId val="8262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1043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816546338909905"/>
          <c:h val="0.8251462819428455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81492</xdr:colOff>
      <xdr:row>32</xdr:row>
      <xdr:rowOff>0</xdr:rowOff>
    </xdr:from>
    <xdr:to>
      <xdr:col>22</xdr:col>
      <xdr:colOff>243416</xdr:colOff>
      <xdr:row>61</xdr:row>
      <xdr:rowOff>109008</xdr:rowOff>
    </xdr:to>
    <xdr:graphicFrame macro="">
      <xdr:nvGraphicFramePr>
        <xdr:cNvPr id="9221" name="Wykres 1">
          <a:extLst>
            <a:ext uri="{FF2B5EF4-FFF2-40B4-BE49-F238E27FC236}">
              <a16:creationId xmlns:a16="http://schemas.microsoft.com/office/drawing/2014/main" xmlns="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750359</xdr:colOff>
      <xdr:row>1</xdr:row>
      <xdr:rowOff>164041</xdr:rowOff>
    </xdr:from>
    <xdr:to>
      <xdr:col>24</xdr:col>
      <xdr:colOff>190500</xdr:colOff>
      <xdr:row>28</xdr:row>
      <xdr:rowOff>158749</xdr:rowOff>
    </xdr:to>
    <xdr:graphicFrame macro="">
      <xdr:nvGraphicFramePr>
        <xdr:cNvPr id="9222" name="Wykres 4">
          <a:extLst>
            <a:ext uri="{FF2B5EF4-FFF2-40B4-BE49-F238E27FC236}">
              <a16:creationId xmlns:a16="http://schemas.microsoft.com/office/drawing/2014/main" xmlns="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389467</xdr:colOff>
      <xdr:row>44</xdr:row>
      <xdr:rowOff>30691</xdr:rowOff>
    </xdr:from>
    <xdr:to>
      <xdr:col>10</xdr:col>
      <xdr:colOff>10584</xdr:colOff>
      <xdr:row>71</xdr:row>
      <xdr:rowOff>179916</xdr:rowOff>
    </xdr:to>
    <xdr:graphicFrame macro="">
      <xdr:nvGraphicFramePr>
        <xdr:cNvPr id="9224" name="Wykres 7">
          <a:extLst>
            <a:ext uri="{FF2B5EF4-FFF2-40B4-BE49-F238E27FC236}">
              <a16:creationId xmlns:a16="http://schemas.microsoft.com/office/drawing/2014/main" xmlns="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ek/Dropbox/WORK/UM%20Wroc/obliczenia/Emisje%20Wroclaw%2019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10" sqref="B10"/>
    </sheetView>
  </sheetViews>
  <sheetFormatPr defaultRowHeight="15"/>
  <cols>
    <col min="1" max="1" width="9.140625" style="3"/>
    <col min="2" max="2" width="11.5703125" style="227" customWidth="1"/>
    <col min="3" max="3" width="9.140625" style="227"/>
    <col min="4" max="4" width="88.28515625" style="228" customWidth="1"/>
    <col min="5" max="16384" width="9.140625" style="3"/>
  </cols>
  <sheetData>
    <row r="1" spans="1:4" ht="18.75">
      <c r="A1" s="229" t="s">
        <v>214</v>
      </c>
    </row>
    <row r="3" spans="1:4">
      <c r="B3" s="225" t="s">
        <v>212</v>
      </c>
      <c r="C3" s="225" t="s">
        <v>210</v>
      </c>
      <c r="D3" s="224" t="s">
        <v>211</v>
      </c>
    </row>
    <row r="4" spans="1:4">
      <c r="B4" s="226">
        <v>42172</v>
      </c>
      <c r="C4" s="227" t="s">
        <v>213</v>
      </c>
      <c r="D4" s="230" t="s">
        <v>209</v>
      </c>
    </row>
    <row r="5" spans="1:4">
      <c r="B5" s="226">
        <v>42326</v>
      </c>
      <c r="C5" s="227" t="s">
        <v>213</v>
      </c>
      <c r="D5" s="230" t="s">
        <v>331</v>
      </c>
    </row>
    <row r="6" spans="1:4">
      <c r="B6" s="226">
        <v>42498</v>
      </c>
      <c r="C6" s="227" t="s">
        <v>213</v>
      </c>
      <c r="D6" s="230" t="s">
        <v>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3:K17"/>
  <sheetViews>
    <sheetView tabSelected="1" zoomScale="110" zoomScaleNormal="110" workbookViewId="0">
      <selection activeCell="B28" sqref="B28"/>
    </sheetView>
  </sheetViews>
  <sheetFormatPr defaultRowHeight="15"/>
  <cols>
    <col min="1" max="1" width="9.140625" style="234"/>
    <col min="2" max="2" width="47.28515625" style="234" customWidth="1"/>
    <col min="3" max="3" width="14.85546875" style="234" bestFit="1" customWidth="1"/>
    <col min="4" max="4" width="12.140625" style="234" bestFit="1" customWidth="1"/>
    <col min="5" max="5" width="8.7109375" style="234" bestFit="1" customWidth="1"/>
    <col min="6" max="6" width="12.140625" style="234" bestFit="1" customWidth="1"/>
    <col min="7" max="16384" width="9.140625" style="234"/>
  </cols>
  <sheetData>
    <row r="3" spans="2:11">
      <c r="B3" s="498">
        <v>2014</v>
      </c>
    </row>
    <row r="4" spans="2:11" ht="15.75" thickBot="1">
      <c r="C4" s="497" t="s">
        <v>348</v>
      </c>
      <c r="D4" s="498" t="s">
        <v>349</v>
      </c>
      <c r="E4" s="498" t="s">
        <v>350</v>
      </c>
      <c r="F4" s="498" t="s">
        <v>226</v>
      </c>
    </row>
    <row r="5" spans="2:11">
      <c r="B5" s="499" t="s">
        <v>58</v>
      </c>
      <c r="C5" s="504">
        <v>634838</v>
      </c>
      <c r="D5" s="505">
        <v>2342513</v>
      </c>
      <c r="E5" s="506" t="s">
        <v>330</v>
      </c>
      <c r="F5" s="505">
        <v>2977351</v>
      </c>
    </row>
    <row r="6" spans="2:11">
      <c r="B6" s="500" t="s">
        <v>1</v>
      </c>
      <c r="C6" s="507">
        <v>1110395</v>
      </c>
      <c r="D6" s="508">
        <v>66074</v>
      </c>
      <c r="E6" s="509" t="s">
        <v>329</v>
      </c>
      <c r="F6" s="508">
        <v>1176469</v>
      </c>
    </row>
    <row r="7" spans="2:11">
      <c r="B7" s="500" t="s">
        <v>4</v>
      </c>
      <c r="C7" s="507">
        <v>12941</v>
      </c>
      <c r="D7" s="508" t="s">
        <v>108</v>
      </c>
      <c r="E7" s="509">
        <v>3542</v>
      </c>
      <c r="F7" s="508">
        <v>16483</v>
      </c>
    </row>
    <row r="8" spans="2:11">
      <c r="B8" s="500" t="s">
        <v>351</v>
      </c>
      <c r="C8" s="507">
        <v>1</v>
      </c>
      <c r="D8" s="508" t="s">
        <v>108</v>
      </c>
      <c r="E8" s="509" t="s">
        <v>108</v>
      </c>
      <c r="F8" s="508">
        <v>1</v>
      </c>
    </row>
    <row r="9" spans="2:11">
      <c r="B9" s="500" t="s">
        <v>352</v>
      </c>
      <c r="C9" s="507">
        <v>-8724</v>
      </c>
      <c r="D9" s="508" t="s">
        <v>108</v>
      </c>
      <c r="E9" s="509" t="s">
        <v>108</v>
      </c>
      <c r="F9" s="508">
        <v>-8724</v>
      </c>
    </row>
    <row r="10" spans="2:11" ht="15.75" thickBot="1">
      <c r="B10" s="501" t="s">
        <v>226</v>
      </c>
      <c r="C10" s="510">
        <v>1749451</v>
      </c>
      <c r="D10" s="511">
        <v>2408587</v>
      </c>
      <c r="E10" s="512">
        <v>3542</v>
      </c>
      <c r="F10" s="513">
        <v>4161580</v>
      </c>
    </row>
    <row r="11" spans="2:11" ht="15.75" thickBot="1">
      <c r="B11" s="502" t="s">
        <v>353</v>
      </c>
      <c r="C11" s="473"/>
      <c r="D11" s="473"/>
      <c r="E11" s="473"/>
      <c r="F11" s="503">
        <v>4170303</v>
      </c>
      <c r="G11" s="477"/>
      <c r="H11" s="477"/>
      <c r="I11" s="477"/>
      <c r="J11" s="477"/>
      <c r="K11" s="477"/>
    </row>
    <row r="12" spans="2:11">
      <c r="G12" s="477"/>
      <c r="H12" s="477"/>
      <c r="I12" s="477"/>
      <c r="J12" s="477"/>
      <c r="K12" s="477"/>
    </row>
    <row r="13" spans="2:11">
      <c r="G13" s="477"/>
      <c r="H13" s="477"/>
      <c r="I13" s="477"/>
      <c r="J13" s="477"/>
      <c r="K13" s="477"/>
    </row>
    <row r="14" spans="2:11">
      <c r="G14" s="477"/>
      <c r="H14" s="477"/>
      <c r="I14" s="477"/>
      <c r="J14" s="477"/>
      <c r="K14" s="477"/>
    </row>
    <row r="15" spans="2:11">
      <c r="G15" s="477"/>
      <c r="H15" s="477"/>
      <c r="I15" s="477"/>
      <c r="J15" s="477"/>
      <c r="K15" s="477"/>
    </row>
    <row r="16" spans="2:11">
      <c r="G16" s="477"/>
      <c r="H16" s="477"/>
      <c r="I16" s="477"/>
      <c r="J16" s="477"/>
      <c r="K16" s="477"/>
    </row>
    <row r="17" spans="7:11">
      <c r="G17" s="477"/>
      <c r="H17" s="477"/>
      <c r="I17" s="477"/>
      <c r="J17" s="477"/>
      <c r="K17" s="477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3"/>
  <sheetViews>
    <sheetView topLeftCell="N1" zoomScale="85" zoomScaleNormal="85" workbookViewId="0">
      <selection activeCell="X58" sqref="X58"/>
    </sheetView>
  </sheetViews>
  <sheetFormatPr defaultRowHeight="12.75"/>
  <cols>
    <col min="1" max="1" width="9.140625" style="241"/>
    <col min="2" max="2" width="37.42578125" style="241" customWidth="1"/>
    <col min="3" max="3" width="17.42578125" style="241" customWidth="1"/>
    <col min="4" max="4" width="16.28515625" style="241" customWidth="1"/>
    <col min="5" max="5" width="13.42578125" style="241" customWidth="1"/>
    <col min="6" max="8" width="11.5703125" style="241" bestFit="1" customWidth="1"/>
    <col min="9" max="9" width="12.7109375" style="241" bestFit="1" customWidth="1"/>
    <col min="10" max="10" width="11.5703125" style="241" bestFit="1" customWidth="1"/>
    <col min="11" max="11" width="10" style="241" bestFit="1" customWidth="1"/>
    <col min="12" max="12" width="11.5703125" style="241" bestFit="1" customWidth="1"/>
    <col min="13" max="13" width="12" style="241" customWidth="1"/>
    <col min="14" max="14" width="11" style="241" customWidth="1"/>
    <col min="15" max="15" width="13.42578125" style="241" customWidth="1"/>
    <col min="16" max="16" width="12.5703125" style="241" customWidth="1"/>
    <col min="17" max="17" width="9.140625" style="241"/>
    <col min="18" max="18" width="12" style="241" customWidth="1"/>
    <col min="19" max="19" width="12.7109375" style="241" bestFit="1" customWidth="1"/>
    <col min="20" max="20" width="9.140625" style="241"/>
    <col min="21" max="21" width="20" style="241" customWidth="1"/>
    <col min="22" max="25" width="9.140625" style="241"/>
    <col min="26" max="26" width="3.85546875" style="241" customWidth="1"/>
    <col min="27" max="16384" width="9.140625" style="241"/>
  </cols>
  <sheetData>
    <row r="1" spans="1:33" s="235" customFormat="1"/>
    <row r="2" spans="1:33" s="235" customFormat="1">
      <c r="B2" s="235" t="s">
        <v>321</v>
      </c>
      <c r="E2" s="235" t="s">
        <v>96</v>
      </c>
    </row>
    <row r="3" spans="1:33" ht="15" customHeight="1">
      <c r="A3" s="236"/>
      <c r="B3" s="237" t="s">
        <v>322</v>
      </c>
      <c r="C3" s="238"/>
      <c r="D3" s="239"/>
      <c r="E3" s="368">
        <v>2020</v>
      </c>
      <c r="F3" s="240"/>
      <c r="G3" s="240"/>
      <c r="H3" s="240"/>
      <c r="I3" s="240"/>
      <c r="J3" s="240"/>
      <c r="K3" s="240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</row>
    <row r="4" spans="1:33" ht="15.75" customHeight="1">
      <c r="A4" s="236"/>
      <c r="B4" s="242" t="s">
        <v>323</v>
      </c>
      <c r="C4" s="243"/>
      <c r="D4" s="243"/>
      <c r="E4" s="371">
        <v>622800</v>
      </c>
      <c r="F4" s="244"/>
      <c r="H4" s="244"/>
      <c r="I4" s="245"/>
      <c r="J4" s="246"/>
      <c r="K4" s="246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</row>
    <row r="5" spans="1:33">
      <c r="A5" s="235"/>
      <c r="B5" s="237" t="s">
        <v>116</v>
      </c>
      <c r="C5" s="238"/>
      <c r="D5" s="240"/>
      <c r="E5" s="370" t="s">
        <v>218</v>
      </c>
      <c r="F5" s="240"/>
      <c r="G5" s="240"/>
      <c r="H5" s="240"/>
      <c r="I5" s="240"/>
      <c r="J5" s="247"/>
      <c r="K5" s="247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</row>
    <row r="6" spans="1:33">
      <c r="A6" s="236"/>
      <c r="B6" s="239" t="s">
        <v>219</v>
      </c>
      <c r="C6" s="248"/>
      <c r="D6" s="249"/>
      <c r="E6" s="369" t="s">
        <v>220</v>
      </c>
      <c r="F6" s="239"/>
      <c r="G6" s="240"/>
      <c r="H6" s="240"/>
      <c r="I6" s="240"/>
      <c r="J6" s="247"/>
      <c r="K6" s="247"/>
      <c r="L6" s="235"/>
      <c r="M6" s="235"/>
      <c r="N6" s="235"/>
      <c r="O6" s="235"/>
      <c r="P6" s="235"/>
      <c r="Q6" s="235"/>
      <c r="R6" s="235"/>
      <c r="S6" s="235"/>
      <c r="T6" s="235"/>
      <c r="U6" s="376"/>
      <c r="V6" s="240" t="s">
        <v>324</v>
      </c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</row>
    <row r="7" spans="1:33" ht="16.5" customHeight="1">
      <c r="A7" s="235"/>
      <c r="B7" s="250"/>
      <c r="C7" s="240"/>
      <c r="D7" s="251"/>
      <c r="E7" s="251"/>
      <c r="F7" s="251"/>
      <c r="G7" s="252"/>
      <c r="H7" s="253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35"/>
      <c r="T7" s="235"/>
      <c r="U7" s="377"/>
      <c r="V7" s="240" t="s">
        <v>325</v>
      </c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</row>
    <row r="8" spans="1:33" ht="19.5" customHeight="1">
      <c r="A8" s="235"/>
      <c r="B8" s="254" t="s">
        <v>310</v>
      </c>
      <c r="C8" s="255"/>
      <c r="D8" s="256"/>
      <c r="E8" s="255"/>
      <c r="F8" s="256"/>
      <c r="G8" s="255"/>
      <c r="H8" s="256"/>
      <c r="I8" s="255"/>
      <c r="J8" s="256"/>
      <c r="K8" s="257"/>
      <c r="L8" s="257"/>
      <c r="M8" s="257"/>
      <c r="N8" s="235"/>
      <c r="O8" s="235"/>
      <c r="P8" s="240"/>
      <c r="Q8" s="240"/>
      <c r="R8" s="240"/>
      <c r="S8" s="235"/>
      <c r="T8" s="235"/>
      <c r="U8" s="374" t="s">
        <v>290</v>
      </c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</row>
    <row r="9" spans="1:33" ht="19.5" customHeight="1">
      <c r="A9" s="235"/>
      <c r="B9" s="254"/>
      <c r="C9" s="255"/>
      <c r="D9" s="256"/>
      <c r="E9" s="255"/>
      <c r="F9" s="256"/>
      <c r="G9" s="255"/>
      <c r="H9" s="256"/>
      <c r="I9" s="255"/>
      <c r="J9" s="256"/>
      <c r="K9" s="257"/>
      <c r="L9" s="257"/>
      <c r="M9" s="257"/>
      <c r="N9" s="235"/>
      <c r="O9" s="235"/>
      <c r="P9" s="240"/>
      <c r="Q9" s="240"/>
      <c r="R9" s="240"/>
      <c r="S9" s="235"/>
      <c r="T9" s="235"/>
      <c r="U9" s="374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</row>
    <row r="10" spans="1:33" ht="15.75" thickBot="1">
      <c r="A10" s="235"/>
      <c r="B10" s="416" t="s">
        <v>291</v>
      </c>
      <c r="C10" s="261"/>
      <c r="D10" s="261"/>
      <c r="E10" s="261"/>
      <c r="F10" s="261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35"/>
      <c r="T10" s="235"/>
      <c r="U10" s="375" t="s">
        <v>292</v>
      </c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</row>
    <row r="11" spans="1:33" ht="15" customHeight="1">
      <c r="A11" s="235"/>
      <c r="B11" s="515" t="s">
        <v>2</v>
      </c>
      <c r="C11" s="516"/>
      <c r="D11" s="519" t="s">
        <v>222</v>
      </c>
      <c r="E11" s="520"/>
      <c r="F11" s="520"/>
      <c r="G11" s="520"/>
      <c r="H11" s="520"/>
      <c r="I11" s="520"/>
      <c r="J11" s="520"/>
      <c r="K11" s="520"/>
      <c r="L11" s="520"/>
      <c r="M11" s="520"/>
      <c r="N11" s="520"/>
      <c r="O11" s="520"/>
      <c r="P11" s="520"/>
      <c r="Q11" s="520"/>
      <c r="R11" s="520"/>
      <c r="S11" s="521"/>
      <c r="T11" s="235"/>
      <c r="U11" s="375" t="s">
        <v>315</v>
      </c>
      <c r="V11" s="375"/>
      <c r="W11" s="375"/>
      <c r="X11" s="375"/>
      <c r="Y11" s="235"/>
      <c r="Z11" s="235"/>
      <c r="AA11" s="235"/>
      <c r="AB11" s="235"/>
      <c r="AC11" s="235"/>
      <c r="AD11" s="235"/>
      <c r="AE11" s="235"/>
      <c r="AF11" s="235"/>
    </row>
    <row r="12" spans="1:33" ht="14.25" customHeight="1">
      <c r="A12" s="235"/>
      <c r="B12" s="517"/>
      <c r="C12" s="518"/>
      <c r="D12" s="522" t="s">
        <v>77</v>
      </c>
      <c r="E12" s="522" t="s">
        <v>223</v>
      </c>
      <c r="F12" s="522" t="s">
        <v>224</v>
      </c>
      <c r="G12" s="522"/>
      <c r="H12" s="522"/>
      <c r="I12" s="522"/>
      <c r="J12" s="522"/>
      <c r="K12" s="522"/>
      <c r="L12" s="522"/>
      <c r="M12" s="522"/>
      <c r="N12" s="522" t="s">
        <v>225</v>
      </c>
      <c r="O12" s="522"/>
      <c r="P12" s="522"/>
      <c r="Q12" s="522"/>
      <c r="R12" s="522"/>
      <c r="S12" s="545" t="s">
        <v>294</v>
      </c>
      <c r="T12" s="235"/>
      <c r="U12" s="375" t="s">
        <v>316</v>
      </c>
      <c r="V12" s="375"/>
      <c r="W12" s="375"/>
      <c r="X12" s="375"/>
      <c r="Y12" s="235"/>
      <c r="Z12" s="235"/>
      <c r="AA12" s="235"/>
      <c r="AB12" s="235"/>
      <c r="AC12" s="235"/>
      <c r="AD12" s="235"/>
      <c r="AE12" s="235"/>
      <c r="AF12" s="235"/>
    </row>
    <row r="13" spans="1:33" ht="26.25" thickBot="1">
      <c r="A13" s="235"/>
      <c r="B13" s="517"/>
      <c r="C13" s="518"/>
      <c r="D13" s="523"/>
      <c r="E13" s="523"/>
      <c r="F13" s="263" t="s">
        <v>80</v>
      </c>
      <c r="G13" s="263" t="s">
        <v>227</v>
      </c>
      <c r="H13" s="263" t="s">
        <v>82</v>
      </c>
      <c r="I13" s="263" t="s">
        <v>84</v>
      </c>
      <c r="J13" s="263" t="s">
        <v>85</v>
      </c>
      <c r="K13" s="263" t="s">
        <v>228</v>
      </c>
      <c r="L13" s="263" t="s">
        <v>86</v>
      </c>
      <c r="M13" s="263" t="s">
        <v>229</v>
      </c>
      <c r="N13" s="263" t="s">
        <v>230</v>
      </c>
      <c r="O13" s="263" t="s">
        <v>231</v>
      </c>
      <c r="P13" s="263" t="s">
        <v>232</v>
      </c>
      <c r="Q13" s="263" t="s">
        <v>233</v>
      </c>
      <c r="R13" s="263" t="s">
        <v>234</v>
      </c>
      <c r="S13" s="546"/>
      <c r="T13" s="235"/>
      <c r="U13" s="375" t="s">
        <v>293</v>
      </c>
      <c r="V13" s="375"/>
      <c r="W13" s="375"/>
      <c r="X13" s="375"/>
      <c r="Y13" s="235"/>
      <c r="Z13" s="235"/>
      <c r="AA13" s="235"/>
      <c r="AB13" s="235"/>
      <c r="AC13" s="235"/>
      <c r="AD13" s="235"/>
      <c r="AE13" s="235"/>
      <c r="AF13" s="235"/>
    </row>
    <row r="14" spans="1:33" ht="15" customHeight="1" thickTop="1" thickBot="1">
      <c r="A14" s="235"/>
      <c r="B14" s="264" t="s">
        <v>235</v>
      </c>
      <c r="C14" s="265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35"/>
      <c r="U14" s="375" t="s">
        <v>311</v>
      </c>
      <c r="V14" s="375"/>
      <c r="W14" s="375"/>
      <c r="X14" s="375"/>
      <c r="Y14" s="394">
        <f>SUM_SEAP!E3</f>
        <v>2014</v>
      </c>
      <c r="Z14" s="235"/>
      <c r="AA14" s="235"/>
      <c r="AB14" s="235"/>
      <c r="AC14" s="235"/>
      <c r="AD14" s="235"/>
      <c r="AE14" s="235"/>
      <c r="AF14" s="235"/>
    </row>
    <row r="15" spans="1:33" ht="14.25" customHeight="1">
      <c r="A15" s="235"/>
      <c r="B15" s="268" t="s">
        <v>236</v>
      </c>
      <c r="C15" s="269"/>
      <c r="D15" s="396">
        <f>D$30</f>
        <v>0.14666666666666667</v>
      </c>
      <c r="E15" s="396">
        <f t="shared" ref="E15:R15" si="0">E$30</f>
        <v>0.13783783783783776</v>
      </c>
      <c r="F15" s="396">
        <f t="shared" si="0"/>
        <v>0.10105263157894728</v>
      </c>
      <c r="G15" s="396">
        <f t="shared" si="0"/>
        <v>5.0892857142857156E-2</v>
      </c>
      <c r="H15" s="396">
        <f t="shared" si="0"/>
        <v>5.0892857142857156E-2</v>
      </c>
      <c r="I15" s="396">
        <f t="shared" si="0"/>
        <v>5.0892857142857156E-2</v>
      </c>
      <c r="J15" s="396">
        <f t="shared" si="0"/>
        <v>5.0892857142857156E-2</v>
      </c>
      <c r="K15" s="396">
        <f t="shared" si="0"/>
        <v>-3.3027522935779818E-2</v>
      </c>
      <c r="L15" s="396">
        <f t="shared" si="0"/>
        <v>-3.3027522935779818E-2</v>
      </c>
      <c r="M15" s="396">
        <f t="shared" si="0"/>
        <v>-3.85E-2</v>
      </c>
      <c r="N15" s="396">
        <f t="shared" si="0"/>
        <v>0.16956521739130442</v>
      </c>
      <c r="O15" s="396">
        <f t="shared" si="0"/>
        <v>0.16956521739130442</v>
      </c>
      <c r="P15" s="396">
        <f t="shared" si="0"/>
        <v>0.16956521739130442</v>
      </c>
      <c r="Q15" s="396">
        <f t="shared" si="0"/>
        <v>0.16956521739130442</v>
      </c>
      <c r="R15" s="396">
        <f t="shared" si="0"/>
        <v>0.16956521739130442</v>
      </c>
      <c r="S15" s="395">
        <v>0</v>
      </c>
      <c r="T15" s="235"/>
      <c r="U15" s="375"/>
      <c r="V15" s="375"/>
      <c r="W15" s="375"/>
      <c r="X15" s="375"/>
      <c r="Y15" s="235"/>
      <c r="Z15" s="235"/>
      <c r="AA15" s="235"/>
      <c r="AB15" s="235"/>
      <c r="AC15" s="235"/>
      <c r="AD15" s="235"/>
      <c r="AE15" s="235"/>
      <c r="AF15" s="235"/>
    </row>
    <row r="16" spans="1:33" ht="14.25" customHeight="1" thickBot="1">
      <c r="A16" s="235"/>
      <c r="B16" s="272" t="s">
        <v>237</v>
      </c>
      <c r="C16" s="273"/>
      <c r="D16" s="396">
        <f t="shared" ref="D16:R18" si="1">D$30</f>
        <v>0.14666666666666667</v>
      </c>
      <c r="E16" s="396">
        <f t="shared" si="1"/>
        <v>0.13783783783783776</v>
      </c>
      <c r="F16" s="396">
        <f t="shared" si="1"/>
        <v>0.10105263157894728</v>
      </c>
      <c r="G16" s="396">
        <f t="shared" si="1"/>
        <v>5.0892857142857156E-2</v>
      </c>
      <c r="H16" s="396">
        <f t="shared" si="1"/>
        <v>5.0892857142857156E-2</v>
      </c>
      <c r="I16" s="396">
        <f t="shared" si="1"/>
        <v>5.0892857142857156E-2</v>
      </c>
      <c r="J16" s="396">
        <f t="shared" si="1"/>
        <v>5.0892857142857156E-2</v>
      </c>
      <c r="K16" s="396">
        <f t="shared" si="1"/>
        <v>-3.3027522935779818E-2</v>
      </c>
      <c r="L16" s="396">
        <f t="shared" si="1"/>
        <v>-3.3027522935779818E-2</v>
      </c>
      <c r="M16" s="396">
        <f t="shared" si="1"/>
        <v>-3.85E-2</v>
      </c>
      <c r="N16" s="396">
        <f t="shared" si="1"/>
        <v>0.16956521739130442</v>
      </c>
      <c r="O16" s="396">
        <f t="shared" si="1"/>
        <v>0.16956521739130442</v>
      </c>
      <c r="P16" s="396">
        <f t="shared" si="1"/>
        <v>0.16956521739130442</v>
      </c>
      <c r="Q16" s="396">
        <f t="shared" si="1"/>
        <v>0.16956521739130442</v>
      </c>
      <c r="R16" s="396">
        <f t="shared" si="1"/>
        <v>0.16956521739130442</v>
      </c>
      <c r="S16" s="391">
        <f>AA20</f>
        <v>0.20000000000000007</v>
      </c>
      <c r="T16" s="235"/>
      <c r="U16" s="379" t="s">
        <v>295</v>
      </c>
      <c r="V16" s="380"/>
      <c r="W16" s="380"/>
      <c r="X16" s="380"/>
      <c r="Y16" s="375"/>
      <c r="Z16" s="235"/>
      <c r="AA16" s="235"/>
      <c r="AB16" s="235"/>
      <c r="AC16" s="235"/>
      <c r="AD16" s="235"/>
      <c r="AE16" s="235"/>
      <c r="AF16" s="235"/>
    </row>
    <row r="17" spans="1:33" ht="15" customHeight="1">
      <c r="A17" s="235"/>
      <c r="B17" s="272" t="s">
        <v>0</v>
      </c>
      <c r="C17" s="273"/>
      <c r="D17" s="396">
        <f t="shared" si="1"/>
        <v>0.14666666666666667</v>
      </c>
      <c r="E17" s="396">
        <f t="shared" si="1"/>
        <v>0.13783783783783776</v>
      </c>
      <c r="F17" s="396">
        <f t="shared" si="1"/>
        <v>0.10105263157894728</v>
      </c>
      <c r="G17" s="396">
        <f t="shared" si="1"/>
        <v>5.0892857142857156E-2</v>
      </c>
      <c r="H17" s="396">
        <f t="shared" si="1"/>
        <v>5.0892857142857156E-2</v>
      </c>
      <c r="I17" s="396">
        <f t="shared" si="1"/>
        <v>5.0892857142857156E-2</v>
      </c>
      <c r="J17" s="396">
        <f t="shared" si="1"/>
        <v>5.0892857142857156E-2</v>
      </c>
      <c r="K17" s="396">
        <f t="shared" si="1"/>
        <v>-3.3027522935779818E-2</v>
      </c>
      <c r="L17" s="396">
        <f t="shared" si="1"/>
        <v>-3.3027522935779818E-2</v>
      </c>
      <c r="M17" s="396">
        <f t="shared" si="1"/>
        <v>-3.85E-2</v>
      </c>
      <c r="N17" s="396">
        <f t="shared" si="1"/>
        <v>0.16956521739130442</v>
      </c>
      <c r="O17" s="396">
        <f t="shared" si="1"/>
        <v>0.16956521739130442</v>
      </c>
      <c r="P17" s="396">
        <f t="shared" si="1"/>
        <v>0.16956521739130442</v>
      </c>
      <c r="Q17" s="396">
        <f t="shared" si="1"/>
        <v>0.16956521739130442</v>
      </c>
      <c r="R17" s="396">
        <f t="shared" si="1"/>
        <v>0.16956521739130442</v>
      </c>
      <c r="S17" s="391">
        <f>AA21</f>
        <v>1.2631578947368327E-2</v>
      </c>
      <c r="T17" s="235"/>
      <c r="U17" s="379" t="s">
        <v>296</v>
      </c>
      <c r="V17" s="379">
        <v>2010</v>
      </c>
      <c r="W17" s="379">
        <v>2020</v>
      </c>
      <c r="X17" s="379" t="s">
        <v>114</v>
      </c>
      <c r="Y17" s="374" t="s">
        <v>312</v>
      </c>
      <c r="Z17" s="235"/>
      <c r="AA17" s="388" t="s">
        <v>314</v>
      </c>
      <c r="AB17" s="235"/>
      <c r="AC17" s="235"/>
      <c r="AD17" s="235"/>
      <c r="AE17" s="235"/>
      <c r="AF17" s="235"/>
    </row>
    <row r="18" spans="1:33" ht="15" customHeight="1">
      <c r="A18" s="235"/>
      <c r="B18" s="272" t="s">
        <v>42</v>
      </c>
      <c r="C18" s="273"/>
      <c r="D18" s="396">
        <f t="shared" si="1"/>
        <v>0.14666666666666667</v>
      </c>
      <c r="E18" s="396">
        <f t="shared" si="1"/>
        <v>0.13783783783783776</v>
      </c>
      <c r="F18" s="396">
        <f t="shared" si="1"/>
        <v>0.10105263157894728</v>
      </c>
      <c r="G18" s="396">
        <f t="shared" si="1"/>
        <v>5.0892857142857156E-2</v>
      </c>
      <c r="H18" s="396">
        <f t="shared" si="1"/>
        <v>5.0892857142857156E-2</v>
      </c>
      <c r="I18" s="396">
        <f t="shared" si="1"/>
        <v>5.0892857142857156E-2</v>
      </c>
      <c r="J18" s="396">
        <f t="shared" si="1"/>
        <v>5.0892857142857156E-2</v>
      </c>
      <c r="K18" s="396">
        <f t="shared" si="1"/>
        <v>-3.3027522935779818E-2</v>
      </c>
      <c r="L18" s="396">
        <f t="shared" si="1"/>
        <v>-3.3027522935779818E-2</v>
      </c>
      <c r="M18" s="396">
        <f t="shared" si="1"/>
        <v>-3.85E-2</v>
      </c>
      <c r="N18" s="396">
        <f t="shared" si="1"/>
        <v>0.16956521739130442</v>
      </c>
      <c r="O18" s="396">
        <f t="shared" si="1"/>
        <v>0.16956521739130442</v>
      </c>
      <c r="P18" s="396">
        <f t="shared" si="1"/>
        <v>0.16956521739130442</v>
      </c>
      <c r="Q18" s="396">
        <f t="shared" si="1"/>
        <v>0.16956521739130442</v>
      </c>
      <c r="R18" s="396">
        <f t="shared" si="1"/>
        <v>0.16956521739130442</v>
      </c>
      <c r="S18" s="395">
        <v>0</v>
      </c>
      <c r="T18" s="235"/>
      <c r="U18" s="380" t="s">
        <v>297</v>
      </c>
      <c r="V18" s="380">
        <v>18.2</v>
      </c>
      <c r="W18" s="380">
        <v>20.9</v>
      </c>
      <c r="X18" s="381">
        <f>(W18/V18)-1</f>
        <v>0.14835164835164827</v>
      </c>
      <c r="Y18" s="385">
        <f>X18/10</f>
        <v>1.4835164835164828E-2</v>
      </c>
      <c r="Z18" s="235"/>
      <c r="AA18" s="386">
        <f>(2020-$Y$14)*Y18</f>
        <v>8.9010989010988972E-2</v>
      </c>
      <c r="AB18" s="533" t="s">
        <v>313</v>
      </c>
      <c r="AC18" s="235"/>
      <c r="AD18" s="235"/>
      <c r="AE18" s="235"/>
      <c r="AF18" s="235"/>
    </row>
    <row r="19" spans="1:33" ht="15" customHeight="1">
      <c r="A19" s="235"/>
      <c r="B19" s="525" t="s">
        <v>11</v>
      </c>
      <c r="C19" s="353" t="s">
        <v>238</v>
      </c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92"/>
      <c r="T19" s="235"/>
      <c r="U19" s="382" t="s">
        <v>298</v>
      </c>
      <c r="V19" s="382">
        <v>15.5</v>
      </c>
      <c r="W19" s="382">
        <v>18.7</v>
      </c>
      <c r="X19" s="381">
        <f>(W19/V19)-1</f>
        <v>0.20645161290322567</v>
      </c>
      <c r="Y19" s="385">
        <f t="shared" ref="Y19:Y29" si="2">X19/10</f>
        <v>2.0645161290322567E-2</v>
      </c>
      <c r="Z19" s="235"/>
      <c r="AA19" s="386">
        <f>(2020-$Y$14)*Y19</f>
        <v>0.1238709677419354</v>
      </c>
      <c r="AB19" s="533"/>
      <c r="AC19" s="235"/>
      <c r="AD19" s="235"/>
      <c r="AE19" s="235"/>
      <c r="AF19" s="235"/>
    </row>
    <row r="20" spans="1:33" ht="18.75" customHeight="1">
      <c r="A20" s="235"/>
      <c r="B20" s="526"/>
      <c r="C20" s="354" t="s">
        <v>239</v>
      </c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92"/>
      <c r="T20" s="235"/>
      <c r="U20" s="382" t="s">
        <v>299</v>
      </c>
      <c r="V20" s="382">
        <v>6.6</v>
      </c>
      <c r="W20" s="382">
        <v>8.8000000000000007</v>
      </c>
      <c r="X20" s="381">
        <f t="shared" ref="X20:X29" si="3">(W20/V20)-1</f>
        <v>0.33333333333333348</v>
      </c>
      <c r="Y20" s="385">
        <f t="shared" si="2"/>
        <v>3.3333333333333347E-2</v>
      </c>
      <c r="Z20" s="235"/>
      <c r="AA20" s="386">
        <f>(2020-$Y$14)*Y20</f>
        <v>0.20000000000000007</v>
      </c>
      <c r="AB20" s="533"/>
      <c r="AC20" s="235"/>
      <c r="AD20" s="235"/>
      <c r="AE20" s="235"/>
      <c r="AF20" s="235"/>
    </row>
    <row r="21" spans="1:33" ht="18.75" customHeight="1">
      <c r="A21" s="235"/>
      <c r="B21" s="527"/>
      <c r="C21" s="275" t="s">
        <v>226</v>
      </c>
      <c r="D21" s="396">
        <f t="shared" ref="D21:R21" si="4">D$30</f>
        <v>0.14666666666666667</v>
      </c>
      <c r="E21" s="396">
        <f t="shared" si="4"/>
        <v>0.13783783783783776</v>
      </c>
      <c r="F21" s="396">
        <f t="shared" si="4"/>
        <v>0.10105263157894728</v>
      </c>
      <c r="G21" s="396">
        <f t="shared" si="4"/>
        <v>5.0892857142857156E-2</v>
      </c>
      <c r="H21" s="396">
        <f t="shared" si="4"/>
        <v>5.0892857142857156E-2</v>
      </c>
      <c r="I21" s="396">
        <f t="shared" si="4"/>
        <v>5.0892857142857156E-2</v>
      </c>
      <c r="J21" s="396">
        <f t="shared" si="4"/>
        <v>5.0892857142857156E-2</v>
      </c>
      <c r="K21" s="396">
        <f t="shared" si="4"/>
        <v>-3.3027522935779818E-2</v>
      </c>
      <c r="L21" s="396">
        <f t="shared" si="4"/>
        <v>-3.3027522935779818E-2</v>
      </c>
      <c r="M21" s="396">
        <f t="shared" si="4"/>
        <v>-3.85E-2</v>
      </c>
      <c r="N21" s="396">
        <f t="shared" si="4"/>
        <v>0.16956521739130442</v>
      </c>
      <c r="O21" s="396">
        <f t="shared" si="4"/>
        <v>0.16956521739130442</v>
      </c>
      <c r="P21" s="396">
        <f t="shared" si="4"/>
        <v>0.16956521739130442</v>
      </c>
      <c r="Q21" s="396">
        <f t="shared" si="4"/>
        <v>0.16956521739130442</v>
      </c>
      <c r="R21" s="396">
        <f t="shared" si="4"/>
        <v>0.16956521739130442</v>
      </c>
      <c r="S21" s="393">
        <f>AA18</f>
        <v>8.9010989010988972E-2</v>
      </c>
      <c r="T21" s="235"/>
      <c r="U21" s="382" t="s">
        <v>300</v>
      </c>
      <c r="V21" s="382">
        <v>19</v>
      </c>
      <c r="W21" s="382">
        <v>19.399999999999999</v>
      </c>
      <c r="X21" s="381">
        <f t="shared" si="3"/>
        <v>2.1052631578947212E-2</v>
      </c>
      <c r="Y21" s="385">
        <f t="shared" si="2"/>
        <v>2.1052631578947212E-3</v>
      </c>
      <c r="Z21" s="235"/>
      <c r="AA21" s="386">
        <f>(2020-$Y$14)*Y21</f>
        <v>1.2631578947368327E-2</v>
      </c>
      <c r="AB21" s="533"/>
      <c r="AC21" s="235"/>
      <c r="AD21" s="235"/>
      <c r="AE21" s="235"/>
      <c r="AF21" s="235"/>
    </row>
    <row r="22" spans="1:33" ht="15" customHeight="1" thickBot="1">
      <c r="A22" s="235"/>
      <c r="B22" s="278" t="s">
        <v>240</v>
      </c>
      <c r="C22" s="279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35"/>
      <c r="U22" s="383" t="s">
        <v>301</v>
      </c>
      <c r="V22" s="383">
        <v>2010</v>
      </c>
      <c r="W22" s="383">
        <v>2020</v>
      </c>
      <c r="X22" s="384" t="s">
        <v>98</v>
      </c>
      <c r="Y22" s="374" t="s">
        <v>312</v>
      </c>
      <c r="Z22" s="235"/>
      <c r="AA22" s="386"/>
      <c r="AB22" s="533"/>
      <c r="AC22" s="235"/>
      <c r="AD22" s="235"/>
      <c r="AE22" s="235"/>
      <c r="AF22" s="235"/>
    </row>
    <row r="23" spans="1:33" ht="15" customHeight="1">
      <c r="A23" s="235"/>
      <c r="B23" s="282" t="s">
        <v>241</v>
      </c>
      <c r="C23" s="283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35"/>
      <c r="U23" s="382" t="s">
        <v>302</v>
      </c>
      <c r="V23" s="382">
        <v>10.9</v>
      </c>
      <c r="W23" s="382">
        <v>10.3</v>
      </c>
      <c r="X23" s="381">
        <f t="shared" si="3"/>
        <v>-5.5045871559633031E-2</v>
      </c>
      <c r="Y23" s="385">
        <f t="shared" si="2"/>
        <v>-5.5045871559633031E-3</v>
      </c>
      <c r="Z23" s="235"/>
      <c r="AA23" s="386">
        <f t="shared" ref="AA23:AA29" si="5">(2020-$Y$14)*Y23</f>
        <v>-3.3027522935779818E-2</v>
      </c>
      <c r="AB23" s="533"/>
      <c r="AC23" s="235"/>
      <c r="AD23" s="235"/>
      <c r="AE23" s="235"/>
      <c r="AF23" s="235"/>
    </row>
    <row r="24" spans="1:33" ht="15" customHeight="1">
      <c r="A24" s="235"/>
      <c r="B24" s="272" t="s">
        <v>242</v>
      </c>
      <c r="C24" s="286"/>
      <c r="D24" s="396">
        <f t="shared" ref="D24:R26" si="6">D$30</f>
        <v>0.14666666666666667</v>
      </c>
      <c r="E24" s="396">
        <f t="shared" si="6"/>
        <v>0.13783783783783776</v>
      </c>
      <c r="F24" s="396">
        <f t="shared" si="6"/>
        <v>0.10105263157894728</v>
      </c>
      <c r="G24" s="396">
        <f t="shared" si="6"/>
        <v>5.0892857142857156E-2</v>
      </c>
      <c r="H24" s="396">
        <f t="shared" si="6"/>
        <v>5.0892857142857156E-2</v>
      </c>
      <c r="I24" s="396">
        <f t="shared" si="6"/>
        <v>5.0892857142857156E-2</v>
      </c>
      <c r="J24" s="396">
        <f t="shared" si="6"/>
        <v>5.0892857142857156E-2</v>
      </c>
      <c r="K24" s="396">
        <f t="shared" si="6"/>
        <v>-3.3027522935779818E-2</v>
      </c>
      <c r="L24" s="396">
        <f t="shared" si="6"/>
        <v>-3.3027522935779818E-2</v>
      </c>
      <c r="M24" s="396">
        <f t="shared" si="6"/>
        <v>-3.85E-2</v>
      </c>
      <c r="N24" s="396">
        <f t="shared" si="6"/>
        <v>0.16956521739130442</v>
      </c>
      <c r="O24" s="396">
        <f t="shared" si="6"/>
        <v>0.16956521739130442</v>
      </c>
      <c r="P24" s="396">
        <f t="shared" si="6"/>
        <v>0.16956521739130442</v>
      </c>
      <c r="Q24" s="396">
        <f t="shared" si="6"/>
        <v>0.16956521739130442</v>
      </c>
      <c r="R24" s="396">
        <f t="shared" si="6"/>
        <v>0.16956521739130442</v>
      </c>
      <c r="S24" s="395">
        <v>0</v>
      </c>
      <c r="T24" s="235"/>
      <c r="U24" s="382" t="s">
        <v>303</v>
      </c>
      <c r="V24" s="382">
        <v>22.4</v>
      </c>
      <c r="W24" s="382">
        <v>24.3</v>
      </c>
      <c r="X24" s="381">
        <f t="shared" si="3"/>
        <v>8.4821428571428603E-2</v>
      </c>
      <c r="Y24" s="385">
        <f t="shared" si="2"/>
        <v>8.48214285714286E-3</v>
      </c>
      <c r="Z24" s="235"/>
      <c r="AA24" s="386">
        <f t="shared" si="5"/>
        <v>5.0892857142857156E-2</v>
      </c>
      <c r="AB24" s="533"/>
      <c r="AC24" s="235"/>
      <c r="AD24" s="235"/>
      <c r="AE24" s="235"/>
      <c r="AF24" s="235"/>
    </row>
    <row r="25" spans="1:33" ht="15" customHeight="1">
      <c r="A25" s="235"/>
      <c r="B25" s="272" t="s">
        <v>243</v>
      </c>
      <c r="C25" s="286"/>
      <c r="D25" s="396">
        <f t="shared" si="6"/>
        <v>0.14666666666666667</v>
      </c>
      <c r="E25" s="396">
        <f t="shared" si="6"/>
        <v>0.13783783783783776</v>
      </c>
      <c r="F25" s="396">
        <f t="shared" si="6"/>
        <v>0.10105263157894728</v>
      </c>
      <c r="G25" s="396">
        <f t="shared" si="6"/>
        <v>5.0892857142857156E-2</v>
      </c>
      <c r="H25" s="396">
        <f t="shared" si="6"/>
        <v>5.0892857142857156E-2</v>
      </c>
      <c r="I25" s="396">
        <f t="shared" si="6"/>
        <v>5.0892857142857156E-2</v>
      </c>
      <c r="J25" s="396">
        <f t="shared" si="6"/>
        <v>5.0892857142857156E-2</v>
      </c>
      <c r="K25" s="396">
        <f t="shared" si="6"/>
        <v>-3.3027522935779818E-2</v>
      </c>
      <c r="L25" s="396">
        <f t="shared" si="6"/>
        <v>-3.3027522935779818E-2</v>
      </c>
      <c r="M25" s="396">
        <f t="shared" si="6"/>
        <v>-3.85E-2</v>
      </c>
      <c r="N25" s="396">
        <f t="shared" si="6"/>
        <v>0.16956521739130442</v>
      </c>
      <c r="O25" s="396">
        <f t="shared" si="6"/>
        <v>0.16956521739130442</v>
      </c>
      <c r="P25" s="396">
        <f t="shared" si="6"/>
        <v>0.16956521739130442</v>
      </c>
      <c r="Q25" s="396">
        <f t="shared" si="6"/>
        <v>0.16956521739130442</v>
      </c>
      <c r="R25" s="396">
        <f t="shared" si="6"/>
        <v>0.16956521739130442</v>
      </c>
      <c r="S25" s="391">
        <f>AA19</f>
        <v>0.1238709677419354</v>
      </c>
      <c r="T25" s="235"/>
      <c r="U25" s="382" t="s">
        <v>304</v>
      </c>
      <c r="V25" s="382">
        <v>9.5</v>
      </c>
      <c r="W25" s="382">
        <v>11.1</v>
      </c>
      <c r="X25" s="381">
        <f t="shared" si="3"/>
        <v>0.1684210526315788</v>
      </c>
      <c r="Y25" s="385">
        <f t="shared" si="2"/>
        <v>1.684210526315788E-2</v>
      </c>
      <c r="Z25" s="235"/>
      <c r="AA25" s="386">
        <f t="shared" si="5"/>
        <v>0.10105263157894728</v>
      </c>
      <c r="AB25" s="533"/>
      <c r="AC25" s="235"/>
      <c r="AD25" s="235"/>
      <c r="AE25" s="235"/>
      <c r="AF25" s="235"/>
    </row>
    <row r="26" spans="1:33" ht="15" customHeight="1">
      <c r="A26" s="235"/>
      <c r="B26" s="272" t="s">
        <v>244</v>
      </c>
      <c r="C26" s="286"/>
      <c r="D26" s="396">
        <f t="shared" si="6"/>
        <v>0.14666666666666667</v>
      </c>
      <c r="E26" s="396">
        <f t="shared" si="6"/>
        <v>0.13783783783783776</v>
      </c>
      <c r="F26" s="396">
        <f t="shared" si="6"/>
        <v>0.10105263157894728</v>
      </c>
      <c r="G26" s="396">
        <f t="shared" si="6"/>
        <v>5.0892857142857156E-2</v>
      </c>
      <c r="H26" s="396">
        <f t="shared" si="6"/>
        <v>5.0892857142857156E-2</v>
      </c>
      <c r="I26" s="396">
        <f t="shared" si="6"/>
        <v>5.0892857142857156E-2</v>
      </c>
      <c r="J26" s="396">
        <f t="shared" si="6"/>
        <v>5.0892857142857156E-2</v>
      </c>
      <c r="K26" s="396">
        <f t="shared" si="6"/>
        <v>-3.3027522935779818E-2</v>
      </c>
      <c r="L26" s="396">
        <f t="shared" si="6"/>
        <v>-3.3027522935779818E-2</v>
      </c>
      <c r="M26" s="396">
        <f t="shared" si="6"/>
        <v>-3.85E-2</v>
      </c>
      <c r="N26" s="396">
        <f t="shared" si="6"/>
        <v>0.16956521739130442</v>
      </c>
      <c r="O26" s="396">
        <f t="shared" si="6"/>
        <v>0.16956521739130442</v>
      </c>
      <c r="P26" s="396">
        <f t="shared" si="6"/>
        <v>0.16956521739130442</v>
      </c>
      <c r="Q26" s="396">
        <f t="shared" si="6"/>
        <v>0.16956521739130442</v>
      </c>
      <c r="R26" s="396">
        <f t="shared" si="6"/>
        <v>0.16956521739130442</v>
      </c>
      <c r="S26" s="391">
        <f>AA19</f>
        <v>0.1238709677419354</v>
      </c>
      <c r="T26" s="235"/>
      <c r="U26" s="382" t="s">
        <v>305</v>
      </c>
      <c r="V26" s="382">
        <v>4.5999999999999996</v>
      </c>
      <c r="W26" s="382">
        <v>5.9</v>
      </c>
      <c r="X26" s="381">
        <f t="shared" si="3"/>
        <v>0.28260869565217406</v>
      </c>
      <c r="Y26" s="385">
        <f t="shared" si="2"/>
        <v>2.8260869565217405E-2</v>
      </c>
      <c r="Z26" s="235"/>
      <c r="AA26" s="386">
        <f t="shared" si="5"/>
        <v>0.16956521739130442</v>
      </c>
      <c r="AB26" s="533"/>
      <c r="AC26" s="235"/>
      <c r="AD26" s="235"/>
      <c r="AE26" s="235"/>
      <c r="AF26" s="235"/>
    </row>
    <row r="27" spans="1:33" ht="15" customHeight="1" thickBot="1">
      <c r="A27" s="235"/>
      <c r="B27" s="528" t="s">
        <v>245</v>
      </c>
      <c r="C27" s="529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35"/>
      <c r="U27" s="382" t="s">
        <v>306</v>
      </c>
      <c r="V27" s="382">
        <v>9</v>
      </c>
      <c r="W27" s="382">
        <v>11.2</v>
      </c>
      <c r="X27" s="381">
        <f t="shared" si="3"/>
        <v>0.24444444444444446</v>
      </c>
      <c r="Y27" s="385">
        <f t="shared" si="2"/>
        <v>2.4444444444444446E-2</v>
      </c>
      <c r="Z27" s="235"/>
      <c r="AA27" s="386">
        <f t="shared" si="5"/>
        <v>0.14666666666666667</v>
      </c>
      <c r="AB27" s="533"/>
      <c r="AC27" s="235"/>
      <c r="AD27" s="235"/>
      <c r="AE27" s="235"/>
      <c r="AF27" s="235"/>
    </row>
    <row r="28" spans="1:33">
      <c r="A28" s="235"/>
      <c r="B28" s="287" t="s">
        <v>246</v>
      </c>
      <c r="C28" s="283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35"/>
      <c r="U28" s="382" t="s">
        <v>307</v>
      </c>
      <c r="V28" s="382">
        <v>7.4</v>
      </c>
      <c r="W28" s="382">
        <v>9.1</v>
      </c>
      <c r="X28" s="381">
        <f t="shared" si="3"/>
        <v>0.2297297297297296</v>
      </c>
      <c r="Y28" s="385">
        <f t="shared" si="2"/>
        <v>2.297297297297296E-2</v>
      </c>
      <c r="Z28" s="235"/>
      <c r="AA28" s="386">
        <f t="shared" si="5"/>
        <v>0.13783783783783776</v>
      </c>
      <c r="AB28" s="533"/>
      <c r="AC28" s="235"/>
      <c r="AD28" s="235"/>
      <c r="AE28" s="235"/>
      <c r="AF28" s="235"/>
    </row>
    <row r="29" spans="1:33" ht="15" customHeight="1" thickBot="1">
      <c r="A29" s="235"/>
      <c r="B29" s="272" t="s">
        <v>247</v>
      </c>
      <c r="C29" s="286"/>
      <c r="D29" s="396">
        <f t="shared" ref="D29:R29" si="7">D$30</f>
        <v>0.14666666666666667</v>
      </c>
      <c r="E29" s="396">
        <f t="shared" si="7"/>
        <v>0.13783783783783776</v>
      </c>
      <c r="F29" s="396">
        <f t="shared" si="7"/>
        <v>0.10105263157894728</v>
      </c>
      <c r="G29" s="396">
        <f t="shared" si="7"/>
        <v>5.0892857142857156E-2</v>
      </c>
      <c r="H29" s="396">
        <f t="shared" si="7"/>
        <v>5.0892857142857156E-2</v>
      </c>
      <c r="I29" s="396">
        <f t="shared" si="7"/>
        <v>5.0892857142857156E-2</v>
      </c>
      <c r="J29" s="396">
        <f t="shared" si="7"/>
        <v>5.0892857142857156E-2</v>
      </c>
      <c r="K29" s="396">
        <f t="shared" si="7"/>
        <v>-3.3027522935779818E-2</v>
      </c>
      <c r="L29" s="396">
        <f t="shared" si="7"/>
        <v>-3.3027522935779818E-2</v>
      </c>
      <c r="M29" s="396">
        <f t="shared" si="7"/>
        <v>-3.85E-2</v>
      </c>
      <c r="N29" s="396">
        <f t="shared" si="7"/>
        <v>0.16956521739130442</v>
      </c>
      <c r="O29" s="396">
        <f t="shared" si="7"/>
        <v>0.16956521739130442</v>
      </c>
      <c r="P29" s="396">
        <f t="shared" si="7"/>
        <v>0.16956521739130442</v>
      </c>
      <c r="Q29" s="396">
        <f t="shared" si="7"/>
        <v>0.16956521739130442</v>
      </c>
      <c r="R29" s="396">
        <f t="shared" si="7"/>
        <v>0.16956521739130442</v>
      </c>
      <c r="S29" s="391">
        <f>AA21</f>
        <v>1.2631578947368327E-2</v>
      </c>
      <c r="T29" s="235"/>
      <c r="U29" s="382" t="s">
        <v>309</v>
      </c>
      <c r="V29" s="382">
        <v>0.5</v>
      </c>
      <c r="W29" s="382">
        <v>0.8</v>
      </c>
      <c r="X29" s="381">
        <f t="shared" si="3"/>
        <v>0.60000000000000009</v>
      </c>
      <c r="Y29" s="385">
        <f t="shared" si="2"/>
        <v>6.0000000000000012E-2</v>
      </c>
      <c r="Z29" s="235"/>
      <c r="AA29" s="387">
        <f t="shared" si="5"/>
        <v>0.3600000000000001</v>
      </c>
      <c r="AB29" s="533"/>
      <c r="AC29" s="235"/>
      <c r="AD29" s="235"/>
      <c r="AE29" s="235"/>
      <c r="AF29" s="235"/>
    </row>
    <row r="30" spans="1:33" ht="15.75" customHeight="1" thickBot="1">
      <c r="A30" s="235"/>
      <c r="B30" s="536" t="s">
        <v>308</v>
      </c>
      <c r="C30" s="537"/>
      <c r="D30" s="390">
        <f>AA27</f>
        <v>0.14666666666666667</v>
      </c>
      <c r="E30" s="390">
        <f>AA28</f>
        <v>0.13783783783783776</v>
      </c>
      <c r="F30" s="390">
        <f>AA25</f>
        <v>0.10105263157894728</v>
      </c>
      <c r="G30" s="390">
        <f>AA24</f>
        <v>5.0892857142857156E-2</v>
      </c>
      <c r="H30" s="390">
        <f>AA24</f>
        <v>5.0892857142857156E-2</v>
      </c>
      <c r="I30" s="390">
        <f>AA24</f>
        <v>5.0892857142857156E-2</v>
      </c>
      <c r="J30" s="390">
        <f>AA24</f>
        <v>5.0892857142857156E-2</v>
      </c>
      <c r="K30" s="390">
        <f>AA23</f>
        <v>-3.3027522935779818E-2</v>
      </c>
      <c r="L30" s="390">
        <f>AA23</f>
        <v>-3.3027522935779818E-2</v>
      </c>
      <c r="M30" s="390">
        <v>-3.85E-2</v>
      </c>
      <c r="N30" s="390">
        <f>AA26</f>
        <v>0.16956521739130442</v>
      </c>
      <c r="O30" s="390">
        <f>AA26</f>
        <v>0.16956521739130442</v>
      </c>
      <c r="P30" s="390">
        <f>AA26</f>
        <v>0.16956521739130442</v>
      </c>
      <c r="Q30" s="390">
        <f>AA26</f>
        <v>0.16956521739130442</v>
      </c>
      <c r="R30" s="390">
        <f>AA26</f>
        <v>0.16956521739130442</v>
      </c>
      <c r="S30" s="389">
        <f>S22+S27+S29</f>
        <v>1.2631578947368327E-2</v>
      </c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</row>
    <row r="31" spans="1:33" ht="15.75" customHeight="1">
      <c r="A31" s="235"/>
      <c r="B31" s="397"/>
      <c r="C31" s="397"/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398"/>
      <c r="O31" s="398"/>
      <c r="P31" s="398"/>
      <c r="Q31" s="398"/>
      <c r="R31" s="398"/>
      <c r="S31" s="399"/>
      <c r="T31" s="235"/>
      <c r="U31" s="375" t="s">
        <v>320</v>
      </c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</row>
    <row r="32" spans="1:33" ht="15.75" thickBot="1">
      <c r="A32" s="235"/>
      <c r="B32" s="416" t="s">
        <v>319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</row>
    <row r="33" spans="1:34" ht="15" customHeight="1">
      <c r="A33" s="235"/>
      <c r="B33" s="515" t="s">
        <v>2</v>
      </c>
      <c r="C33" s="516"/>
      <c r="D33" s="519" t="s">
        <v>222</v>
      </c>
      <c r="E33" s="520"/>
      <c r="F33" s="520"/>
      <c r="G33" s="520"/>
      <c r="H33" s="520"/>
      <c r="I33" s="520"/>
      <c r="J33" s="520"/>
      <c r="K33" s="520"/>
      <c r="L33" s="520"/>
      <c r="M33" s="520"/>
      <c r="N33" s="520"/>
      <c r="O33" s="520"/>
      <c r="P33" s="520"/>
      <c r="Q33" s="520"/>
      <c r="R33" s="520"/>
      <c r="S33" s="521"/>
      <c r="T33" s="235"/>
      <c r="U33" s="400"/>
      <c r="V33" s="400"/>
      <c r="W33" s="400"/>
      <c r="X33" s="400"/>
      <c r="Y33" s="401"/>
      <c r="Z33" s="401"/>
      <c r="AA33" s="401"/>
      <c r="AB33" s="401"/>
      <c r="AC33" s="401"/>
      <c r="AD33" s="401"/>
      <c r="AE33" s="401"/>
      <c r="AF33" s="401"/>
      <c r="AG33" s="402"/>
      <c r="AH33" s="402"/>
    </row>
    <row r="34" spans="1:34" ht="14.25" customHeight="1">
      <c r="A34" s="235"/>
      <c r="B34" s="517"/>
      <c r="C34" s="518"/>
      <c r="D34" s="522" t="s">
        <v>77</v>
      </c>
      <c r="E34" s="522" t="s">
        <v>223</v>
      </c>
      <c r="F34" s="522" t="s">
        <v>224</v>
      </c>
      <c r="G34" s="522"/>
      <c r="H34" s="522"/>
      <c r="I34" s="522"/>
      <c r="J34" s="522"/>
      <c r="K34" s="522"/>
      <c r="L34" s="522"/>
      <c r="M34" s="522"/>
      <c r="N34" s="522" t="s">
        <v>225</v>
      </c>
      <c r="O34" s="522"/>
      <c r="P34" s="522"/>
      <c r="Q34" s="522"/>
      <c r="R34" s="522"/>
      <c r="S34" s="534" t="s">
        <v>226</v>
      </c>
      <c r="T34" s="235"/>
      <c r="U34" s="403"/>
      <c r="V34" s="400"/>
      <c r="W34" s="400"/>
      <c r="X34" s="400"/>
      <c r="Y34" s="401"/>
      <c r="Z34" s="401"/>
      <c r="AA34" s="401"/>
      <c r="AB34" s="401"/>
      <c r="AC34" s="401"/>
      <c r="AD34" s="401"/>
      <c r="AE34" s="401"/>
      <c r="AF34" s="401"/>
      <c r="AG34" s="402"/>
      <c r="AH34" s="402"/>
    </row>
    <row r="35" spans="1:34" ht="26.25" thickBot="1">
      <c r="A35" s="235"/>
      <c r="B35" s="517"/>
      <c r="C35" s="518"/>
      <c r="D35" s="523"/>
      <c r="E35" s="523"/>
      <c r="F35" s="263" t="s">
        <v>80</v>
      </c>
      <c r="G35" s="263" t="s">
        <v>227</v>
      </c>
      <c r="H35" s="263" t="s">
        <v>82</v>
      </c>
      <c r="I35" s="263" t="s">
        <v>84</v>
      </c>
      <c r="J35" s="263" t="s">
        <v>85</v>
      </c>
      <c r="K35" s="263" t="s">
        <v>228</v>
      </c>
      <c r="L35" s="263" t="s">
        <v>86</v>
      </c>
      <c r="M35" s="263" t="s">
        <v>229</v>
      </c>
      <c r="N35" s="263" t="s">
        <v>230</v>
      </c>
      <c r="O35" s="263" t="s">
        <v>231</v>
      </c>
      <c r="P35" s="263" t="s">
        <v>232</v>
      </c>
      <c r="Q35" s="263" t="s">
        <v>233</v>
      </c>
      <c r="R35" s="263" t="s">
        <v>234</v>
      </c>
      <c r="S35" s="535"/>
      <c r="T35" s="235"/>
      <c r="U35" s="400"/>
      <c r="V35" s="400"/>
      <c r="W35" s="400"/>
      <c r="X35" s="400"/>
      <c r="Y35" s="401"/>
      <c r="Z35" s="401"/>
      <c r="AA35" s="401"/>
      <c r="AB35" s="401"/>
      <c r="AC35" s="401"/>
      <c r="AD35" s="401"/>
      <c r="AE35" s="401"/>
      <c r="AF35" s="401"/>
      <c r="AG35" s="402"/>
      <c r="AH35" s="402"/>
    </row>
    <row r="36" spans="1:34" ht="15" customHeight="1">
      <c r="A36" s="235"/>
      <c r="B36" s="264" t="s">
        <v>235</v>
      </c>
      <c r="C36" s="265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35"/>
      <c r="U36" s="400"/>
      <c r="V36" s="400"/>
      <c r="W36" s="400"/>
      <c r="X36" s="400"/>
      <c r="Y36" s="401"/>
      <c r="Z36" s="401"/>
      <c r="AA36" s="401"/>
      <c r="AB36" s="401"/>
      <c r="AC36" s="401"/>
      <c r="AD36" s="401"/>
      <c r="AE36" s="401"/>
      <c r="AF36" s="401"/>
      <c r="AG36" s="402"/>
      <c r="AH36" s="402"/>
    </row>
    <row r="37" spans="1:34" ht="14.25" customHeight="1">
      <c r="A37" s="235"/>
      <c r="B37" s="268" t="s">
        <v>236</v>
      </c>
      <c r="C37" s="269"/>
      <c r="D37" s="406">
        <f>SUM_SEAP!D15*(1+BAU!D15)</f>
        <v>53503.466666666667</v>
      </c>
      <c r="E37" s="406">
        <f>SUM_SEAP!E15*(1+BAU!E15)</f>
        <v>161269.17027027026</v>
      </c>
      <c r="F37" s="406">
        <f>SUM_SEAP!F15*(1+BAU!F15)</f>
        <v>95847.73263157894</v>
      </c>
      <c r="G37" s="406">
        <f>SUM_SEAP!G15*(1+BAU!G15)</f>
        <v>64.99766016071429</v>
      </c>
      <c r="H37" s="406">
        <f>SUM_SEAP!H15*(1+BAU!H15)</f>
        <v>2432.2609099604665</v>
      </c>
      <c r="I37" s="406">
        <f>SUM_SEAP!I15*(1+BAU!I15)</f>
        <v>0</v>
      </c>
      <c r="J37" s="406">
        <f>SUM_SEAP!J15*(1+BAU!J15)</f>
        <v>0</v>
      </c>
      <c r="K37" s="406">
        <f>SUM_SEAP!K15*(1+BAU!K15)</f>
        <v>0</v>
      </c>
      <c r="L37" s="406">
        <f>SUM_SEAP!L15*(1+BAU!L15)</f>
        <v>0</v>
      </c>
      <c r="M37" s="406">
        <f>SUM_SEAP!M15*(1+BAU!M15)</f>
        <v>481.24405074999993</v>
      </c>
      <c r="N37" s="406">
        <f>SUM_SEAP!N15*(1+BAU!N15)</f>
        <v>0</v>
      </c>
      <c r="O37" s="406">
        <f>SUM_SEAP!O15*(1+BAU!O15)</f>
        <v>13632.282586956522</v>
      </c>
      <c r="P37" s="406">
        <f>SUM_SEAP!P15*(1+BAU!P15)</f>
        <v>0</v>
      </c>
      <c r="Q37" s="406">
        <f>SUM_SEAP!Q15*(1+BAU!Q15)</f>
        <v>0</v>
      </c>
      <c r="R37" s="406">
        <f>SUM_SEAP!R15*(1+BAU!R15)</f>
        <v>0</v>
      </c>
      <c r="S37" s="407">
        <f>SUM(D37:R37)</f>
        <v>327231.15477634355</v>
      </c>
      <c r="T37" s="235"/>
      <c r="U37" s="400"/>
      <c r="V37" s="400"/>
      <c r="W37" s="400"/>
      <c r="X37" s="400"/>
      <c r="Y37" s="401"/>
      <c r="Z37" s="401"/>
      <c r="AA37" s="401"/>
      <c r="AB37" s="401"/>
      <c r="AC37" s="401"/>
      <c r="AD37" s="401"/>
      <c r="AE37" s="401"/>
      <c r="AF37" s="401"/>
      <c r="AG37" s="402"/>
      <c r="AH37" s="402"/>
    </row>
    <row r="38" spans="1:34" ht="14.25" customHeight="1">
      <c r="A38" s="235"/>
      <c r="B38" s="272" t="s">
        <v>237</v>
      </c>
      <c r="C38" s="273"/>
      <c r="D38" s="406">
        <f>SUM_SEAP!D16*(1+BAU!D16)</f>
        <v>984376.64</v>
      </c>
      <c r="E38" s="406">
        <f>SUM_SEAP!E16*(1+BAU!E16)</f>
        <v>485046.61621621618</v>
      </c>
      <c r="F38" s="406">
        <f>SUM_SEAP!F16*(1+BAU!F16)</f>
        <v>223810.81996245607</v>
      </c>
      <c r="G38" s="406">
        <f>SUM_SEAP!G16*(1+BAU!G16)</f>
        <v>1839.7558430264883</v>
      </c>
      <c r="H38" s="406">
        <f>SUM_SEAP!H16*(1+BAU!H16)</f>
        <v>27482.872405983078</v>
      </c>
      <c r="I38" s="406">
        <f>SUM_SEAP!I16*(1+BAU!I16)</f>
        <v>0</v>
      </c>
      <c r="J38" s="406">
        <f>SUM_SEAP!J16*(1+BAU!J16)</f>
        <v>0</v>
      </c>
      <c r="K38" s="406">
        <f>SUM_SEAP!K16*(1+BAU!K16)</f>
        <v>0</v>
      </c>
      <c r="L38" s="406">
        <f>SUM_SEAP!L16*(1+BAU!L16)</f>
        <v>0</v>
      </c>
      <c r="M38" s="406">
        <f>SUM_SEAP!M16*(1+BAU!M16)</f>
        <v>30317.349316812502</v>
      </c>
      <c r="N38" s="406">
        <f>SUM_SEAP!N16*(1+BAU!N16)</f>
        <v>0</v>
      </c>
      <c r="O38" s="406">
        <f>SUM_SEAP!O16*(1+BAU!O16)</f>
        <v>0</v>
      </c>
      <c r="P38" s="406">
        <f>SUM_SEAP!P16*(1+BAU!P16)</f>
        <v>0</v>
      </c>
      <c r="Q38" s="406">
        <f>SUM_SEAP!Q16*(1+BAU!Q16)</f>
        <v>0</v>
      </c>
      <c r="R38" s="406">
        <f>SUM_SEAP!R16*(1+BAU!R16)</f>
        <v>0</v>
      </c>
      <c r="S38" s="407">
        <f t="shared" ref="S38:S43" si="8">SUM(D38:R38)</f>
        <v>1752874.0537444944</v>
      </c>
      <c r="T38" s="235"/>
      <c r="U38" s="379"/>
      <c r="V38" s="380"/>
      <c r="W38" s="380"/>
      <c r="X38" s="380"/>
      <c r="Y38" s="400"/>
      <c r="Z38" s="401"/>
      <c r="AA38" s="401"/>
      <c r="AB38" s="401"/>
      <c r="AC38" s="401"/>
      <c r="AD38" s="401"/>
      <c r="AE38" s="401"/>
      <c r="AF38" s="401"/>
      <c r="AG38" s="402"/>
      <c r="AH38" s="402"/>
    </row>
    <row r="39" spans="1:34" ht="15" customHeight="1">
      <c r="A39" s="235"/>
      <c r="B39" s="272" t="s">
        <v>0</v>
      </c>
      <c r="C39" s="273"/>
      <c r="D39" s="406">
        <f>SUM_SEAP!D17*(1+BAU!D17)</f>
        <v>626207.28</v>
      </c>
      <c r="E39" s="406">
        <f>SUM_SEAP!E17*(1+BAU!E17)</f>
        <v>1367546.8162162162</v>
      </c>
      <c r="F39" s="406">
        <f>SUM_SEAP!F17*(1+BAU!F17)</f>
        <v>1102542.3557894735</v>
      </c>
      <c r="G39" s="406">
        <f>SUM_SEAP!G17*(1+BAU!G17)</f>
        <v>23547.012695610119</v>
      </c>
      <c r="H39" s="406">
        <f>SUM_SEAP!H17*(1+BAU!H17)</f>
        <v>3057.0473214285712</v>
      </c>
      <c r="I39" s="406">
        <f>SUM_SEAP!I17*(1+BAU!I17)</f>
        <v>0</v>
      </c>
      <c r="J39" s="406">
        <f>SUM_SEAP!J17*(1+BAU!J17)</f>
        <v>0</v>
      </c>
      <c r="K39" s="406">
        <f>SUM_SEAP!K17*(1+BAU!K17)</f>
        <v>0</v>
      </c>
      <c r="L39" s="406">
        <f>SUM_SEAP!L17*(1+BAU!L17)</f>
        <v>582781.74128440372</v>
      </c>
      <c r="M39" s="406">
        <f>SUM_SEAP!M17*(1+BAU!M17)</f>
        <v>0</v>
      </c>
      <c r="N39" s="406">
        <f>SUM_SEAP!N17*(1+BAU!N17)</f>
        <v>0</v>
      </c>
      <c r="O39" s="406">
        <f>SUM_SEAP!O17*(1+BAU!O17)</f>
        <v>0</v>
      </c>
      <c r="P39" s="406">
        <f>SUM_SEAP!P17*(1+BAU!P17)</f>
        <v>383867.72700506559</v>
      </c>
      <c r="Q39" s="406">
        <f>SUM_SEAP!Q17*(1+BAU!Q17)</f>
        <v>7422.7860000000028</v>
      </c>
      <c r="R39" s="406">
        <f>SUM_SEAP!R17*(1+BAU!R17)</f>
        <v>0</v>
      </c>
      <c r="S39" s="407">
        <f t="shared" si="8"/>
        <v>4096972.7663121973</v>
      </c>
      <c r="T39" s="235"/>
      <c r="U39" s="379"/>
      <c r="V39" s="379"/>
      <c r="W39" s="379"/>
      <c r="X39" s="379"/>
      <c r="Y39" s="404"/>
      <c r="Z39" s="401"/>
      <c r="AA39" s="405"/>
      <c r="AB39" s="401"/>
      <c r="AC39" s="401"/>
      <c r="AD39" s="401"/>
      <c r="AE39" s="401"/>
      <c r="AF39" s="401"/>
      <c r="AG39" s="402"/>
      <c r="AH39" s="402"/>
    </row>
    <row r="40" spans="1:34" ht="15" customHeight="1">
      <c r="A40" s="235"/>
      <c r="B40" s="272" t="s">
        <v>42</v>
      </c>
      <c r="C40" s="273"/>
      <c r="D40" s="406">
        <f>SUM_SEAP!D18*(1+BAU!D18)</f>
        <v>40869.493333333332</v>
      </c>
      <c r="E40" s="406">
        <f>SUM_SEAP!E18*(1+BAU!E18)</f>
        <v>0</v>
      </c>
      <c r="F40" s="406">
        <f>SUM_SEAP!F18*(1+BAU!F18)</f>
        <v>552.72842105263157</v>
      </c>
      <c r="G40" s="406">
        <f>SUM_SEAP!G18*(1+BAU!G18)</f>
        <v>0</v>
      </c>
      <c r="H40" s="406">
        <f>SUM_SEAP!H18*(1+BAU!H18)</f>
        <v>0</v>
      </c>
      <c r="I40" s="406">
        <f>SUM_SEAP!I18*(1+BAU!I18)</f>
        <v>0</v>
      </c>
      <c r="J40" s="406">
        <f>SUM_SEAP!J18*(1+BAU!J18)</f>
        <v>0</v>
      </c>
      <c r="K40" s="406">
        <f>SUM_SEAP!K18*(1+BAU!K18)</f>
        <v>0</v>
      </c>
      <c r="L40" s="406">
        <f>SUM_SEAP!L18*(1+BAU!L18)</f>
        <v>0</v>
      </c>
      <c r="M40" s="406">
        <f>SUM_SEAP!M18*(1+BAU!M18)</f>
        <v>0</v>
      </c>
      <c r="N40" s="406">
        <f>SUM_SEAP!N18*(1+BAU!N18)</f>
        <v>0</v>
      </c>
      <c r="O40" s="406">
        <f>SUM_SEAP!O18*(1+BAU!O18)</f>
        <v>0</v>
      </c>
      <c r="P40" s="406">
        <f>SUM_SEAP!P18*(1+BAU!P18)</f>
        <v>0</v>
      </c>
      <c r="Q40" s="406">
        <f>SUM_SEAP!Q18*(1+BAU!Q18)</f>
        <v>0</v>
      </c>
      <c r="R40" s="406">
        <f>SUM_SEAP!R18*(1+BAU!R18)</f>
        <v>0</v>
      </c>
      <c r="S40" s="407">
        <f t="shared" si="8"/>
        <v>41422.221754385966</v>
      </c>
      <c r="T40" s="235"/>
      <c r="U40" s="380"/>
      <c r="V40" s="380"/>
      <c r="W40" s="380"/>
      <c r="X40" s="381"/>
      <c r="Y40" s="381"/>
      <c r="Z40" s="401"/>
      <c r="AA40" s="378"/>
      <c r="AB40" s="524"/>
      <c r="AC40" s="401"/>
      <c r="AD40" s="401"/>
      <c r="AE40" s="401"/>
      <c r="AF40" s="401"/>
      <c r="AG40" s="402"/>
      <c r="AH40" s="402"/>
    </row>
    <row r="41" spans="1:34" ht="15" customHeight="1">
      <c r="A41" s="235"/>
      <c r="B41" s="525" t="s">
        <v>11</v>
      </c>
      <c r="C41" s="353" t="s">
        <v>238</v>
      </c>
      <c r="D41" s="408"/>
      <c r="E41" s="408"/>
      <c r="F41" s="408"/>
      <c r="G41" s="408"/>
      <c r="H41" s="408"/>
      <c r="I41" s="408"/>
      <c r="J41" s="408"/>
      <c r="K41" s="408"/>
      <c r="L41" s="408"/>
      <c r="M41" s="408"/>
      <c r="N41" s="408"/>
      <c r="O41" s="408"/>
      <c r="P41" s="408"/>
      <c r="Q41" s="408"/>
      <c r="R41" s="408"/>
      <c r="S41" s="408"/>
      <c r="T41" s="235"/>
      <c r="U41" s="380"/>
      <c r="V41" s="380"/>
      <c r="W41" s="380"/>
      <c r="X41" s="381"/>
      <c r="Y41" s="381"/>
      <c r="Z41" s="401"/>
      <c r="AA41" s="378"/>
      <c r="AB41" s="524"/>
      <c r="AC41" s="401"/>
      <c r="AD41" s="401"/>
      <c r="AE41" s="401"/>
      <c r="AF41" s="401"/>
      <c r="AG41" s="402"/>
      <c r="AH41" s="402"/>
    </row>
    <row r="42" spans="1:34" ht="18.75" customHeight="1">
      <c r="A42" s="235"/>
      <c r="B42" s="526"/>
      <c r="C42" s="354" t="s">
        <v>239</v>
      </c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235"/>
      <c r="U42" s="380"/>
      <c r="V42" s="380"/>
      <c r="W42" s="380"/>
      <c r="X42" s="381"/>
      <c r="Y42" s="381"/>
      <c r="Z42" s="401"/>
      <c r="AA42" s="378"/>
      <c r="AB42" s="524"/>
      <c r="AC42" s="401"/>
      <c r="AD42" s="401"/>
      <c r="AE42" s="401"/>
      <c r="AF42" s="401"/>
      <c r="AG42" s="402"/>
      <c r="AH42" s="402"/>
    </row>
    <row r="43" spans="1:34" ht="18.75" customHeight="1">
      <c r="A43" s="235"/>
      <c r="B43" s="527"/>
      <c r="C43" s="275" t="s">
        <v>226</v>
      </c>
      <c r="D43" s="406">
        <f>SUM_SEAP!D21*(1+BAU!D21)</f>
        <v>628604.96000000008</v>
      </c>
      <c r="E43" s="406">
        <f>SUM_SEAP!E21*(1+BAU!E21)</f>
        <v>111741.99699699698</v>
      </c>
      <c r="F43" s="406">
        <f>SUM_SEAP!F21*(1+BAU!F21)</f>
        <v>476304.35789473681</v>
      </c>
      <c r="G43" s="406">
        <f>SUM_SEAP!G21*(1+BAU!G21)</f>
        <v>1.0508928571428571</v>
      </c>
      <c r="H43" s="406">
        <f>SUM_SEAP!H21*(1+BAU!H21)</f>
        <v>3641.3437499999995</v>
      </c>
      <c r="I43" s="406">
        <f>SUM_SEAP!I21*(1+BAU!I21)</f>
        <v>0</v>
      </c>
      <c r="J43" s="406">
        <f>SUM_SEAP!J21*(1+BAU!J21)</f>
        <v>0</v>
      </c>
      <c r="K43" s="406">
        <f>SUM_SEAP!K21*(1+BAU!K21)</f>
        <v>0</v>
      </c>
      <c r="L43" s="406">
        <f>SUM_SEAP!L21*(1+BAU!L21)</f>
        <v>0</v>
      </c>
      <c r="M43" s="406">
        <f>SUM_SEAP!M21*(1+BAU!M21)</f>
        <v>63095.553</v>
      </c>
      <c r="N43" s="406">
        <f>SUM_SEAP!N21*(1+BAU!N21)</f>
        <v>0</v>
      </c>
      <c r="O43" s="406">
        <f>SUM_SEAP!O21*(1+BAU!O21)</f>
        <v>0</v>
      </c>
      <c r="P43" s="406">
        <f>SUM_SEAP!P21*(1+BAU!P21)</f>
        <v>0</v>
      </c>
      <c r="Q43" s="406">
        <f>SUM_SEAP!Q21*(1+BAU!Q21)</f>
        <v>0</v>
      </c>
      <c r="R43" s="406">
        <f>SUM_SEAP!R21*(1+BAU!R21)</f>
        <v>0</v>
      </c>
      <c r="S43" s="409">
        <f t="shared" si="8"/>
        <v>1283389.2625345911</v>
      </c>
      <c r="T43" s="235"/>
      <c r="U43" s="380"/>
      <c r="V43" s="380"/>
      <c r="W43" s="380"/>
      <c r="X43" s="381"/>
      <c r="Y43" s="381"/>
      <c r="Z43" s="401"/>
      <c r="AA43" s="378"/>
      <c r="AB43" s="524"/>
      <c r="AC43" s="401"/>
      <c r="AD43" s="401"/>
      <c r="AE43" s="401"/>
      <c r="AF43" s="401"/>
      <c r="AG43" s="402"/>
      <c r="AH43" s="402"/>
    </row>
    <row r="44" spans="1:34" ht="15" customHeight="1" thickBot="1">
      <c r="A44" s="235"/>
      <c r="B44" s="278" t="s">
        <v>240</v>
      </c>
      <c r="C44" s="279"/>
      <c r="D44" s="410">
        <f>SUM(D37:D40,D43)</f>
        <v>2333561.8400000003</v>
      </c>
      <c r="E44" s="410">
        <f t="shared" ref="E44:R44" si="9">SUM(E37:E40,E43)</f>
        <v>2125604.5996996998</v>
      </c>
      <c r="F44" s="410">
        <f t="shared" si="9"/>
        <v>1899057.9946992979</v>
      </c>
      <c r="G44" s="410">
        <f t="shared" si="9"/>
        <v>25452.817091654466</v>
      </c>
      <c r="H44" s="410">
        <f t="shared" si="9"/>
        <v>36613.524387372119</v>
      </c>
      <c r="I44" s="410">
        <f t="shared" si="9"/>
        <v>0</v>
      </c>
      <c r="J44" s="410">
        <f t="shared" si="9"/>
        <v>0</v>
      </c>
      <c r="K44" s="410">
        <f t="shared" si="9"/>
        <v>0</v>
      </c>
      <c r="L44" s="410">
        <f t="shared" si="9"/>
        <v>582781.74128440372</v>
      </c>
      <c r="M44" s="410">
        <f t="shared" si="9"/>
        <v>93894.146367562498</v>
      </c>
      <c r="N44" s="410">
        <f t="shared" si="9"/>
        <v>0</v>
      </c>
      <c r="O44" s="410">
        <f t="shared" si="9"/>
        <v>13632.282586956522</v>
      </c>
      <c r="P44" s="410">
        <f t="shared" si="9"/>
        <v>383867.72700506559</v>
      </c>
      <c r="Q44" s="410">
        <f t="shared" si="9"/>
        <v>7422.7860000000028</v>
      </c>
      <c r="R44" s="410">
        <f t="shared" si="9"/>
        <v>0</v>
      </c>
      <c r="S44" s="411">
        <f>SUM(S37:S43)</f>
        <v>7501889.4591220133</v>
      </c>
      <c r="T44" s="235"/>
      <c r="U44" s="379"/>
      <c r="V44" s="379"/>
      <c r="W44" s="379"/>
      <c r="X44" s="384"/>
      <c r="Y44" s="404"/>
      <c r="Z44" s="401"/>
      <c r="AA44" s="378"/>
      <c r="AB44" s="524"/>
      <c r="AC44" s="401"/>
      <c r="AD44" s="401"/>
      <c r="AE44" s="401"/>
      <c r="AF44" s="401"/>
      <c r="AG44" s="402"/>
      <c r="AH44" s="402"/>
    </row>
    <row r="45" spans="1:34" ht="15" customHeight="1">
      <c r="A45" s="235"/>
      <c r="B45" s="282" t="s">
        <v>241</v>
      </c>
      <c r="C45" s="283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3"/>
      <c r="T45" s="235"/>
      <c r="U45" s="380"/>
      <c r="V45" s="380"/>
      <c r="W45" s="380"/>
      <c r="X45" s="381"/>
      <c r="Y45" s="381"/>
      <c r="Z45" s="401"/>
      <c r="AA45" s="378"/>
      <c r="AB45" s="524"/>
      <c r="AC45" s="401"/>
      <c r="AD45" s="401"/>
      <c r="AE45" s="401"/>
      <c r="AF45" s="401"/>
      <c r="AG45" s="402"/>
      <c r="AH45" s="402"/>
    </row>
    <row r="46" spans="1:34" ht="15" customHeight="1">
      <c r="A46" s="235"/>
      <c r="B46" s="272" t="s">
        <v>242</v>
      </c>
      <c r="C46" s="286"/>
      <c r="D46" s="406">
        <f>SUM_SEAP!D24*(1+BAU!D24)</f>
        <v>0</v>
      </c>
      <c r="E46" s="406">
        <f>SUM_SEAP!E24*(1+BAU!E24)</f>
        <v>0</v>
      </c>
      <c r="F46" s="406">
        <f>SUM_SEAP!F24*(1+BAU!F24)</f>
        <v>0</v>
      </c>
      <c r="G46" s="406">
        <f>SUM_SEAP!G24*(1+BAU!G24)</f>
        <v>0</v>
      </c>
      <c r="H46" s="406">
        <f>SUM_SEAP!H24*(1+BAU!H24)</f>
        <v>0</v>
      </c>
      <c r="I46" s="406">
        <f>SUM_SEAP!I24*(1+BAU!I24)</f>
        <v>1.0235930690104166E-2</v>
      </c>
      <c r="J46" s="406">
        <f>SUM_SEAP!J24*(1+BAU!J24)</f>
        <v>18.508324999999996</v>
      </c>
      <c r="K46" s="406">
        <f>SUM_SEAP!K24*(1+BAU!K24)</f>
        <v>0</v>
      </c>
      <c r="L46" s="406">
        <f>SUM_SEAP!L24*(1+BAU!L24)</f>
        <v>0</v>
      </c>
      <c r="M46" s="406">
        <f>SUM_SEAP!M24*(1+BAU!M24)</f>
        <v>0</v>
      </c>
      <c r="N46" s="406">
        <f>SUM_SEAP!N24*(1+BAU!N24)</f>
        <v>0</v>
      </c>
      <c r="O46" s="406">
        <f>SUM_SEAP!O24*(1+BAU!O24)</f>
        <v>0</v>
      </c>
      <c r="P46" s="406">
        <f>SUM_SEAP!P24*(1+BAU!P24)</f>
        <v>0</v>
      </c>
      <c r="Q46" s="406">
        <f>SUM_SEAP!Q24*(1+BAU!Q24)</f>
        <v>0</v>
      </c>
      <c r="R46" s="406">
        <f>SUM_SEAP!R24*(1+BAU!R24)</f>
        <v>0</v>
      </c>
      <c r="S46" s="409">
        <f>SUM(D46:R46)</f>
        <v>18.5185609306901</v>
      </c>
      <c r="T46" s="235"/>
      <c r="U46" s="380"/>
      <c r="V46" s="380"/>
      <c r="W46" s="380"/>
      <c r="X46" s="381"/>
      <c r="Y46" s="381"/>
      <c r="Z46" s="401"/>
      <c r="AA46" s="378"/>
      <c r="AB46" s="524"/>
      <c r="AC46" s="401"/>
      <c r="AD46" s="401"/>
      <c r="AE46" s="401"/>
      <c r="AF46" s="401"/>
      <c r="AG46" s="402"/>
      <c r="AH46" s="402"/>
    </row>
    <row r="47" spans="1:34" ht="15" customHeight="1">
      <c r="A47" s="235"/>
      <c r="B47" s="272" t="s">
        <v>243</v>
      </c>
      <c r="C47" s="286"/>
      <c r="D47" s="406">
        <f>SUM_SEAP!D25*(1+BAU!D25)</f>
        <v>71274.506666666668</v>
      </c>
      <c r="E47" s="406">
        <f>SUM_SEAP!E25*(1+BAU!E25)</f>
        <v>0</v>
      </c>
      <c r="F47" s="406">
        <f>SUM_SEAP!F25*(1+BAU!F25)</f>
        <v>0</v>
      </c>
      <c r="G47" s="406">
        <f>SUM_SEAP!G25*(1+BAU!G25)</f>
        <v>0</v>
      </c>
      <c r="H47" s="406">
        <f>SUM_SEAP!H25*(1+BAU!H25)</f>
        <v>0</v>
      </c>
      <c r="I47" s="406">
        <f>SUM_SEAP!I25*(1+BAU!I25)</f>
        <v>118762.45267857143</v>
      </c>
      <c r="J47" s="406">
        <f>SUM_SEAP!J25*(1+BAU!J25)</f>
        <v>0</v>
      </c>
      <c r="K47" s="406">
        <f>SUM_SEAP!K25*(1+BAU!K25)</f>
        <v>0</v>
      </c>
      <c r="L47" s="406">
        <f>SUM_SEAP!L25*(1+BAU!L25)</f>
        <v>0</v>
      </c>
      <c r="M47" s="406">
        <f>SUM_SEAP!M25*(1+BAU!M25)</f>
        <v>0</v>
      </c>
      <c r="N47" s="406">
        <f>SUM_SEAP!N25*(1+BAU!N25)</f>
        <v>0</v>
      </c>
      <c r="O47" s="406">
        <f>SUM_SEAP!O25*(1+BAU!O25)</f>
        <v>0</v>
      </c>
      <c r="P47" s="406">
        <f>SUM_SEAP!P25*(1+BAU!P25)</f>
        <v>0</v>
      </c>
      <c r="Q47" s="406">
        <f>SUM_SEAP!Q25*(1+BAU!Q25)</f>
        <v>0</v>
      </c>
      <c r="R47" s="406">
        <f>SUM_SEAP!R25*(1+BAU!R25)</f>
        <v>0</v>
      </c>
      <c r="S47" s="409">
        <f>SUM(D47:R47)</f>
        <v>190036.95934523811</v>
      </c>
      <c r="T47" s="235"/>
      <c r="U47" s="380"/>
      <c r="V47" s="380"/>
      <c r="W47" s="380"/>
      <c r="X47" s="381"/>
      <c r="Y47" s="381"/>
      <c r="Z47" s="401"/>
      <c r="AA47" s="378"/>
      <c r="AB47" s="524"/>
      <c r="AC47" s="401"/>
      <c r="AD47" s="401"/>
      <c r="AE47" s="401"/>
      <c r="AF47" s="401"/>
      <c r="AG47" s="402"/>
      <c r="AH47" s="402"/>
    </row>
    <row r="48" spans="1:34" ht="15" customHeight="1">
      <c r="A48" s="235"/>
      <c r="B48" s="272" t="s">
        <v>244</v>
      </c>
      <c r="C48" s="286"/>
      <c r="D48" s="406">
        <f>SUM_SEAP!D26*(1+BAU!D26)</f>
        <v>19950.853333333333</v>
      </c>
      <c r="E48" s="406">
        <f>SUM_SEAP!E26*(1+BAU!E26)</f>
        <v>0</v>
      </c>
      <c r="F48" s="406">
        <f>SUM_SEAP!F26*(1+BAU!F26)</f>
        <v>2786.7642105263158</v>
      </c>
      <c r="G48" s="406">
        <f>SUM_SEAP!G26*(1+BAU!G26)</f>
        <v>235995.85624999998</v>
      </c>
      <c r="H48" s="406">
        <f>SUM_SEAP!H26*(1+BAU!H26)</f>
        <v>0</v>
      </c>
      <c r="I48" s="406">
        <f>SUM_SEAP!I26*(1+BAU!I26)</f>
        <v>1977742.5249999999</v>
      </c>
      <c r="J48" s="406">
        <f>SUM_SEAP!J26*(1+BAU!J26)</f>
        <v>1706578.5392857143</v>
      </c>
      <c r="K48" s="406">
        <f>SUM_SEAP!K26*(1+BAU!K26)</f>
        <v>0</v>
      </c>
      <c r="L48" s="406">
        <f>SUM_SEAP!L26*(1+BAU!L26)</f>
        <v>0</v>
      </c>
      <c r="M48" s="406">
        <f>SUM_SEAP!M26*(1+BAU!M26)</f>
        <v>0</v>
      </c>
      <c r="N48" s="406">
        <f>SUM_SEAP!N26*(1+BAU!N26)</f>
        <v>9.5108035053140103</v>
      </c>
      <c r="O48" s="406">
        <f>SUM_SEAP!O26*(1+BAU!O26)</f>
        <v>18.560438608695655</v>
      </c>
      <c r="P48" s="406">
        <f>SUM_SEAP!P26*(1+BAU!P26)</f>
        <v>0</v>
      </c>
      <c r="Q48" s="406">
        <f>SUM_SEAP!Q26*(1+BAU!Q26)</f>
        <v>0</v>
      </c>
      <c r="R48" s="406">
        <f>SUM_SEAP!R26*(1+BAU!R26)</f>
        <v>0</v>
      </c>
      <c r="S48" s="409">
        <f>SUM(D48:R48)</f>
        <v>3943082.6093216878</v>
      </c>
      <c r="T48" s="235"/>
      <c r="U48" s="380"/>
      <c r="V48" s="380"/>
      <c r="W48" s="380"/>
      <c r="X48" s="381"/>
      <c r="Y48" s="381"/>
      <c r="Z48" s="401"/>
      <c r="AA48" s="378"/>
      <c r="AB48" s="524"/>
      <c r="AC48" s="401"/>
      <c r="AD48" s="401"/>
      <c r="AE48" s="401"/>
      <c r="AF48" s="401"/>
      <c r="AG48" s="402"/>
      <c r="AH48" s="402"/>
    </row>
    <row r="49" spans="1:34" ht="15" customHeight="1" thickBot="1">
      <c r="A49" s="235"/>
      <c r="B49" s="528" t="s">
        <v>245</v>
      </c>
      <c r="C49" s="529"/>
      <c r="D49" s="410">
        <f>SUM(D46:D48)</f>
        <v>91225.36</v>
      </c>
      <c r="E49" s="410">
        <f t="shared" ref="E49:R49" si="10">SUM(E46:E48)</f>
        <v>0</v>
      </c>
      <c r="F49" s="410">
        <f t="shared" si="10"/>
        <v>2786.7642105263158</v>
      </c>
      <c r="G49" s="410">
        <f t="shared" si="10"/>
        <v>235995.85624999998</v>
      </c>
      <c r="H49" s="410">
        <f t="shared" si="10"/>
        <v>0</v>
      </c>
      <c r="I49" s="410">
        <f t="shared" si="10"/>
        <v>2096504.9879145019</v>
      </c>
      <c r="J49" s="410">
        <f t="shared" si="10"/>
        <v>1706597.0476107143</v>
      </c>
      <c r="K49" s="410">
        <f t="shared" si="10"/>
        <v>0</v>
      </c>
      <c r="L49" s="410">
        <f t="shared" si="10"/>
        <v>0</v>
      </c>
      <c r="M49" s="410">
        <f t="shared" si="10"/>
        <v>0</v>
      </c>
      <c r="N49" s="410">
        <f t="shared" si="10"/>
        <v>9.5108035053140103</v>
      </c>
      <c r="O49" s="410">
        <f t="shared" si="10"/>
        <v>18.560438608695655</v>
      </c>
      <c r="P49" s="410">
        <f t="shared" si="10"/>
        <v>0</v>
      </c>
      <c r="Q49" s="410">
        <f t="shared" si="10"/>
        <v>0</v>
      </c>
      <c r="R49" s="410">
        <f t="shared" si="10"/>
        <v>0</v>
      </c>
      <c r="S49" s="411">
        <f>SUM(S46:S48)</f>
        <v>4133138.0872278567</v>
      </c>
      <c r="T49" s="235"/>
      <c r="U49" s="380"/>
      <c r="V49" s="380"/>
      <c r="W49" s="380"/>
      <c r="X49" s="381"/>
      <c r="Y49" s="381"/>
      <c r="Z49" s="401"/>
      <c r="AA49" s="378"/>
      <c r="AB49" s="524"/>
      <c r="AC49" s="401"/>
      <c r="AD49" s="401"/>
      <c r="AE49" s="401"/>
      <c r="AF49" s="401"/>
      <c r="AG49" s="402"/>
      <c r="AH49" s="402"/>
    </row>
    <row r="50" spans="1:34">
      <c r="A50" s="235"/>
      <c r="B50" s="287" t="s">
        <v>246</v>
      </c>
      <c r="C50" s="283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4"/>
      <c r="T50" s="235"/>
      <c r="U50" s="380"/>
      <c r="V50" s="380"/>
      <c r="W50" s="380"/>
      <c r="X50" s="381"/>
      <c r="Y50" s="381"/>
      <c r="Z50" s="401"/>
      <c r="AA50" s="378"/>
      <c r="AB50" s="524"/>
      <c r="AC50" s="401"/>
      <c r="AD50" s="401"/>
      <c r="AE50" s="401"/>
      <c r="AF50" s="401"/>
      <c r="AG50" s="402"/>
      <c r="AH50" s="402"/>
    </row>
    <row r="51" spans="1:34" ht="15" customHeight="1">
      <c r="A51" s="235"/>
      <c r="B51" s="272" t="s">
        <v>247</v>
      </c>
      <c r="C51" s="286"/>
      <c r="D51" s="406">
        <f>SUM_SEAP!D29*(1+BAU!D29)</f>
        <v>0</v>
      </c>
      <c r="E51" s="406">
        <f>SUM_SEAP!E29*(1+BAU!E29)</f>
        <v>0</v>
      </c>
      <c r="F51" s="406">
        <f>SUM_SEAP!F29*(1+BAU!F29)</f>
        <v>4428.833733333332</v>
      </c>
      <c r="G51" s="406">
        <f>SUM_SEAP!G29*(1+BAU!G29)</f>
        <v>0</v>
      </c>
      <c r="H51" s="406">
        <f>SUM_SEAP!H29*(1+BAU!H29)</f>
        <v>0</v>
      </c>
      <c r="I51" s="406">
        <f>SUM_SEAP!I29*(1+BAU!I29)</f>
        <v>11451.579464285713</v>
      </c>
      <c r="J51" s="406">
        <f>SUM_SEAP!J29*(1+BAU!J29)</f>
        <v>0</v>
      </c>
      <c r="K51" s="406">
        <f>SUM_SEAP!K29*(1+BAU!K29)</f>
        <v>0</v>
      </c>
      <c r="L51" s="406">
        <f>SUM_SEAP!L29*(1+BAU!L29)</f>
        <v>0</v>
      </c>
      <c r="M51" s="406">
        <f>SUM_SEAP!M29*(1+BAU!M29)</f>
        <v>0</v>
      </c>
      <c r="N51" s="406">
        <f>SUM_SEAP!N29*(1+BAU!N29)</f>
        <v>0</v>
      </c>
      <c r="O51" s="406">
        <f>SUM_SEAP!O29*(1+BAU!O29)</f>
        <v>0</v>
      </c>
      <c r="P51" s="406">
        <f>SUM_SEAP!P29*(1+BAU!P29)</f>
        <v>0</v>
      </c>
      <c r="Q51" s="406">
        <f>SUM_SEAP!Q29*(1+BAU!Q29)</f>
        <v>0</v>
      </c>
      <c r="R51" s="406">
        <f>SUM_SEAP!R29*(1+BAU!R29)</f>
        <v>0</v>
      </c>
      <c r="S51" s="409">
        <f>SUM(D51:R51)</f>
        <v>15880.413197619044</v>
      </c>
      <c r="T51" s="235"/>
      <c r="U51" s="380"/>
      <c r="V51" s="380"/>
      <c r="W51" s="380"/>
      <c r="X51" s="381"/>
      <c r="Y51" s="381"/>
      <c r="Z51" s="401"/>
      <c r="AA51" s="378"/>
      <c r="AB51" s="524"/>
      <c r="AC51" s="401"/>
      <c r="AD51" s="401"/>
      <c r="AE51" s="401"/>
      <c r="AF51" s="401"/>
      <c r="AG51" s="402"/>
      <c r="AH51" s="402"/>
    </row>
    <row r="52" spans="1:34" ht="15.75" customHeight="1" thickBot="1">
      <c r="A52" s="235"/>
      <c r="B52" s="530" t="s">
        <v>248</v>
      </c>
      <c r="C52" s="531"/>
      <c r="D52" s="415">
        <f>D44+D49+D51</f>
        <v>2424787.2000000002</v>
      </c>
      <c r="E52" s="415">
        <f t="shared" ref="E52:R52" si="11">E44+E49+E51</f>
        <v>2125604.5996996998</v>
      </c>
      <c r="F52" s="415">
        <f t="shared" si="11"/>
        <v>1906273.5926431576</v>
      </c>
      <c r="G52" s="415">
        <f t="shared" si="11"/>
        <v>261448.67334165444</v>
      </c>
      <c r="H52" s="415">
        <f t="shared" si="11"/>
        <v>36613.524387372119</v>
      </c>
      <c r="I52" s="415">
        <f t="shared" si="11"/>
        <v>2107956.5673787878</v>
      </c>
      <c r="J52" s="415">
        <f t="shared" si="11"/>
        <v>1706597.0476107143</v>
      </c>
      <c r="K52" s="415">
        <f t="shared" si="11"/>
        <v>0</v>
      </c>
      <c r="L52" s="415">
        <f t="shared" si="11"/>
        <v>582781.74128440372</v>
      </c>
      <c r="M52" s="415">
        <f t="shared" si="11"/>
        <v>93894.146367562498</v>
      </c>
      <c r="N52" s="415">
        <f t="shared" si="11"/>
        <v>9.5108035053140103</v>
      </c>
      <c r="O52" s="415">
        <f t="shared" si="11"/>
        <v>13650.843025565218</v>
      </c>
      <c r="P52" s="415">
        <f t="shared" si="11"/>
        <v>383867.72700506559</v>
      </c>
      <c r="Q52" s="415">
        <f t="shared" si="11"/>
        <v>7422.7860000000028</v>
      </c>
      <c r="R52" s="415">
        <f t="shared" si="11"/>
        <v>0</v>
      </c>
      <c r="S52" s="415">
        <f>S44+S49+S51</f>
        <v>11650907.95954749</v>
      </c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</row>
    <row r="53" spans="1:34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</row>
    <row r="54" spans="1:34" ht="16.5" customHeight="1">
      <c r="A54" s="235"/>
      <c r="B54" s="258"/>
      <c r="C54" s="258"/>
      <c r="D54" s="259"/>
      <c r="E54" s="259"/>
      <c r="F54" s="259"/>
      <c r="G54" s="259"/>
      <c r="H54" s="240"/>
      <c r="I54" s="240"/>
      <c r="J54" s="247"/>
      <c r="K54" s="247"/>
      <c r="L54" s="240"/>
      <c r="M54" s="240"/>
      <c r="N54" s="240"/>
      <c r="O54" s="240"/>
      <c r="P54" s="240"/>
      <c r="Q54" s="240"/>
      <c r="R54" s="240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</row>
    <row r="55" spans="1:34" ht="32.25" customHeight="1" thickBot="1">
      <c r="A55" s="235"/>
      <c r="B55" s="532" t="s">
        <v>317</v>
      </c>
      <c r="C55" s="532"/>
      <c r="D55" s="532"/>
      <c r="E55" s="532"/>
      <c r="F55" s="532"/>
      <c r="G55" s="532"/>
      <c r="H55" s="532"/>
      <c r="I55" s="532"/>
      <c r="J55" s="532"/>
      <c r="K55" s="532"/>
      <c r="L55" s="532"/>
      <c r="M55" s="532"/>
      <c r="N55" s="532"/>
      <c r="O55" s="532"/>
      <c r="P55" s="532"/>
      <c r="Q55" s="532"/>
      <c r="R55" s="532"/>
      <c r="S55" s="532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</row>
    <row r="56" spans="1:34" ht="15" customHeight="1">
      <c r="A56" s="235"/>
      <c r="B56" s="515" t="s">
        <v>2</v>
      </c>
      <c r="C56" s="516"/>
      <c r="D56" s="519" t="s">
        <v>222</v>
      </c>
      <c r="E56" s="520"/>
      <c r="F56" s="520"/>
      <c r="G56" s="520"/>
      <c r="H56" s="520"/>
      <c r="I56" s="520"/>
      <c r="J56" s="520"/>
      <c r="K56" s="520"/>
      <c r="L56" s="520"/>
      <c r="M56" s="520"/>
      <c r="N56" s="520"/>
      <c r="O56" s="520"/>
      <c r="P56" s="520"/>
      <c r="Q56" s="520"/>
      <c r="R56" s="520"/>
      <c r="S56" s="521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</row>
    <row r="57" spans="1:34" ht="14.25" customHeight="1">
      <c r="A57" s="235"/>
      <c r="B57" s="517"/>
      <c r="C57" s="518"/>
      <c r="D57" s="522" t="s">
        <v>77</v>
      </c>
      <c r="E57" s="522" t="s">
        <v>223</v>
      </c>
      <c r="F57" s="522" t="s">
        <v>224</v>
      </c>
      <c r="G57" s="522"/>
      <c r="H57" s="522"/>
      <c r="I57" s="522"/>
      <c r="J57" s="522"/>
      <c r="K57" s="522"/>
      <c r="L57" s="522"/>
      <c r="M57" s="522"/>
      <c r="N57" s="522" t="s">
        <v>225</v>
      </c>
      <c r="O57" s="522"/>
      <c r="P57" s="522"/>
      <c r="Q57" s="522"/>
      <c r="R57" s="522"/>
      <c r="S57" s="534" t="s">
        <v>226</v>
      </c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</row>
    <row r="58" spans="1:34" ht="26.25" thickBot="1">
      <c r="A58" s="235"/>
      <c r="B58" s="517"/>
      <c r="C58" s="518"/>
      <c r="D58" s="523"/>
      <c r="E58" s="523"/>
      <c r="F58" s="263" t="s">
        <v>80</v>
      </c>
      <c r="G58" s="263" t="s">
        <v>227</v>
      </c>
      <c r="H58" s="263" t="s">
        <v>82</v>
      </c>
      <c r="I58" s="263" t="s">
        <v>84</v>
      </c>
      <c r="J58" s="263" t="s">
        <v>85</v>
      </c>
      <c r="K58" s="263" t="s">
        <v>228</v>
      </c>
      <c r="L58" s="263" t="s">
        <v>86</v>
      </c>
      <c r="M58" s="263" t="s">
        <v>229</v>
      </c>
      <c r="N58" s="263" t="s">
        <v>230</v>
      </c>
      <c r="O58" s="263" t="s">
        <v>231</v>
      </c>
      <c r="P58" s="263" t="s">
        <v>232</v>
      </c>
      <c r="Q58" s="263" t="s">
        <v>233</v>
      </c>
      <c r="R58" s="263" t="s">
        <v>234</v>
      </c>
      <c r="S58" s="5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</row>
    <row r="59" spans="1:34" ht="15" customHeight="1">
      <c r="A59" s="235"/>
      <c r="B59" s="264" t="s">
        <v>235</v>
      </c>
      <c r="C59" s="265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7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</row>
    <row r="60" spans="1:34" ht="14.25" customHeight="1">
      <c r="A60" s="235"/>
      <c r="B60" s="268" t="s">
        <v>236</v>
      </c>
      <c r="C60" s="269"/>
      <c r="D60" s="270">
        <f>IFERROR((D37/$S37)*$S60,)</f>
        <v>47412.22809081641</v>
      </c>
      <c r="E60" s="270">
        <f t="shared" ref="E60:R60" si="12">IFERROR((E37/$S37)*$S60,)</f>
        <v>142909.07040672933</v>
      </c>
      <c r="F60" s="270">
        <f t="shared" si="12"/>
        <v>84935.703135423144</v>
      </c>
      <c r="G60" s="270">
        <f t="shared" si="12"/>
        <v>57.597835820778407</v>
      </c>
      <c r="H60" s="270">
        <f t="shared" si="12"/>
        <v>2155.3539653397347</v>
      </c>
      <c r="I60" s="270">
        <f t="shared" si="12"/>
        <v>0</v>
      </c>
      <c r="J60" s="270">
        <f t="shared" si="12"/>
        <v>0</v>
      </c>
      <c r="K60" s="270">
        <f t="shared" si="12"/>
        <v>0</v>
      </c>
      <c r="L60" s="270">
        <f t="shared" si="12"/>
        <v>0</v>
      </c>
      <c r="M60" s="270">
        <f t="shared" si="12"/>
        <v>426.45559480583358</v>
      </c>
      <c r="N60" s="270">
        <f t="shared" si="12"/>
        <v>0</v>
      </c>
      <c r="O60" s="270">
        <f t="shared" si="12"/>
        <v>12080.280618786959</v>
      </c>
      <c r="P60" s="270">
        <f t="shared" si="12"/>
        <v>0</v>
      </c>
      <c r="Q60" s="270">
        <f t="shared" si="12"/>
        <v>0</v>
      </c>
      <c r="R60" s="270">
        <f t="shared" si="12"/>
        <v>0</v>
      </c>
      <c r="S60" s="271">
        <f>SUM_SEAP!S15*(BAU!S15+1)</f>
        <v>289976.68964772217</v>
      </c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</row>
    <row r="61" spans="1:34" ht="14.25" customHeight="1">
      <c r="A61" s="235"/>
      <c r="B61" s="272" t="s">
        <v>237</v>
      </c>
      <c r="C61" s="273"/>
      <c r="D61" s="270">
        <f t="shared" ref="D61:R61" si="13">IFERROR((D38/$S38)*$S61,)</f>
        <v>1042824.4275982114</v>
      </c>
      <c r="E61" s="270">
        <f t="shared" si="13"/>
        <v>513846.46827267756</v>
      </c>
      <c r="F61" s="270">
        <f t="shared" si="13"/>
        <v>237099.68393564745</v>
      </c>
      <c r="G61" s="270">
        <f t="shared" si="13"/>
        <v>1948.9921397612225</v>
      </c>
      <c r="H61" s="270">
        <f t="shared" si="13"/>
        <v>29114.679809472098</v>
      </c>
      <c r="I61" s="270">
        <f t="shared" si="13"/>
        <v>0</v>
      </c>
      <c r="J61" s="270">
        <f t="shared" si="13"/>
        <v>0</v>
      </c>
      <c r="K61" s="270">
        <f t="shared" si="13"/>
        <v>0</v>
      </c>
      <c r="L61" s="270">
        <f t="shared" si="13"/>
        <v>0</v>
      </c>
      <c r="M61" s="270">
        <f t="shared" si="13"/>
        <v>32117.4550094972</v>
      </c>
      <c r="N61" s="270">
        <f t="shared" si="13"/>
        <v>0</v>
      </c>
      <c r="O61" s="270">
        <f t="shared" si="13"/>
        <v>0</v>
      </c>
      <c r="P61" s="270">
        <f t="shared" si="13"/>
        <v>0</v>
      </c>
      <c r="Q61" s="270">
        <f t="shared" si="13"/>
        <v>0</v>
      </c>
      <c r="R61" s="270">
        <f t="shared" si="13"/>
        <v>0</v>
      </c>
      <c r="S61" s="271">
        <f>SUM_SEAP!S16*(BAU!S16+1)</f>
        <v>1856951.7067652671</v>
      </c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</row>
    <row r="62" spans="1:34" ht="15" customHeight="1">
      <c r="A62" s="235"/>
      <c r="B62" s="272" t="s">
        <v>0</v>
      </c>
      <c r="C62" s="273"/>
      <c r="D62" s="270">
        <f t="shared" ref="D62:R62" si="14">IFERROR((D39/$S39)*$S62,)</f>
        <v>574518.29334363237</v>
      </c>
      <c r="E62" s="270">
        <f t="shared" si="14"/>
        <v>1254665.488590389</v>
      </c>
      <c r="F62" s="270">
        <f t="shared" si="14"/>
        <v>1011535.2740505288</v>
      </c>
      <c r="G62" s="270">
        <f t="shared" si="14"/>
        <v>21603.373162992884</v>
      </c>
      <c r="H62" s="270">
        <f t="shared" si="14"/>
        <v>2804.7096638318635</v>
      </c>
      <c r="I62" s="270">
        <f t="shared" si="14"/>
        <v>0</v>
      </c>
      <c r="J62" s="270">
        <f t="shared" si="14"/>
        <v>0</v>
      </c>
      <c r="K62" s="270">
        <f t="shared" si="14"/>
        <v>0</v>
      </c>
      <c r="L62" s="270">
        <f t="shared" si="14"/>
        <v>534677.22603695362</v>
      </c>
      <c r="M62" s="270">
        <f t="shared" si="14"/>
        <v>0</v>
      </c>
      <c r="N62" s="270">
        <f t="shared" si="14"/>
        <v>0</v>
      </c>
      <c r="O62" s="270">
        <f t="shared" si="14"/>
        <v>0</v>
      </c>
      <c r="P62" s="270">
        <f t="shared" si="14"/>
        <v>352182.15826020052</v>
      </c>
      <c r="Q62" s="270">
        <f t="shared" si="14"/>
        <v>6810.0874594990482</v>
      </c>
      <c r="R62" s="270">
        <f t="shared" si="14"/>
        <v>0</v>
      </c>
      <c r="S62" s="271">
        <f>SUM_SEAP!S17*(BAU!S17+1)</f>
        <v>3758796.6105680279</v>
      </c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</row>
    <row r="63" spans="1:34" ht="15" customHeight="1">
      <c r="A63" s="235"/>
      <c r="B63" s="272" t="s">
        <v>42</v>
      </c>
      <c r="C63" s="273"/>
      <c r="D63" s="270">
        <f t="shared" ref="D63:R63" si="15">IFERROR((D40/$S40)*$S63,)</f>
        <v>35661.70293324715</v>
      </c>
      <c r="E63" s="270">
        <f t="shared" si="15"/>
        <v>0</v>
      </c>
      <c r="F63" s="270">
        <f t="shared" si="15"/>
        <v>482.29706675284694</v>
      </c>
      <c r="G63" s="270">
        <f t="shared" si="15"/>
        <v>0</v>
      </c>
      <c r="H63" s="270">
        <f t="shared" si="15"/>
        <v>0</v>
      </c>
      <c r="I63" s="270">
        <f t="shared" si="15"/>
        <v>0</v>
      </c>
      <c r="J63" s="270">
        <f t="shared" si="15"/>
        <v>0</v>
      </c>
      <c r="K63" s="270">
        <f t="shared" si="15"/>
        <v>0</v>
      </c>
      <c r="L63" s="270">
        <f t="shared" si="15"/>
        <v>0</v>
      </c>
      <c r="M63" s="270">
        <f t="shared" si="15"/>
        <v>0</v>
      </c>
      <c r="N63" s="270">
        <f t="shared" si="15"/>
        <v>0</v>
      </c>
      <c r="O63" s="270">
        <f t="shared" si="15"/>
        <v>0</v>
      </c>
      <c r="P63" s="270">
        <f t="shared" si="15"/>
        <v>0</v>
      </c>
      <c r="Q63" s="270">
        <f t="shared" si="15"/>
        <v>0</v>
      </c>
      <c r="R63" s="270">
        <f t="shared" si="15"/>
        <v>0</v>
      </c>
      <c r="S63" s="271">
        <f>SUM_SEAP!S18*(BAU!S18+1)</f>
        <v>36144</v>
      </c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</row>
    <row r="64" spans="1:34" ht="15" customHeight="1">
      <c r="A64" s="235"/>
      <c r="B64" s="525" t="s">
        <v>11</v>
      </c>
      <c r="C64" s="353" t="s">
        <v>238</v>
      </c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</row>
    <row r="65" spans="1:33" ht="18.75" customHeight="1">
      <c r="A65" s="235"/>
      <c r="B65" s="526"/>
      <c r="C65" s="354" t="s">
        <v>239</v>
      </c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2"/>
      <c r="S65" s="352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</row>
    <row r="66" spans="1:33" ht="18.75" customHeight="1">
      <c r="A66" s="235"/>
      <c r="B66" s="527"/>
      <c r="C66" s="275" t="s">
        <v>226</v>
      </c>
      <c r="D66" s="270">
        <f t="shared" ref="D66:R66" si="16">IFERROR((D43/$S43)*$S66,)</f>
        <v>612386.93575278204</v>
      </c>
      <c r="E66" s="270">
        <f t="shared" si="16"/>
        <v>108859.0505806501</v>
      </c>
      <c r="F66" s="270">
        <f t="shared" si="16"/>
        <v>464015.69312602025</v>
      </c>
      <c r="G66" s="270">
        <f t="shared" si="16"/>
        <v>1.0237797942132054</v>
      </c>
      <c r="H66" s="270">
        <f t="shared" si="16"/>
        <v>3547.3969869487564</v>
      </c>
      <c r="I66" s="270">
        <f t="shared" si="16"/>
        <v>0</v>
      </c>
      <c r="J66" s="270">
        <f t="shared" si="16"/>
        <v>0</v>
      </c>
      <c r="K66" s="270">
        <f t="shared" si="16"/>
        <v>0</v>
      </c>
      <c r="L66" s="270">
        <f t="shared" si="16"/>
        <v>0</v>
      </c>
      <c r="M66" s="270">
        <f t="shared" si="16"/>
        <v>61467.686098590835</v>
      </c>
      <c r="N66" s="270">
        <f t="shared" si="16"/>
        <v>0</v>
      </c>
      <c r="O66" s="270">
        <f t="shared" si="16"/>
        <v>0</v>
      </c>
      <c r="P66" s="270">
        <f t="shared" si="16"/>
        <v>0</v>
      </c>
      <c r="Q66" s="270">
        <f t="shared" si="16"/>
        <v>0</v>
      </c>
      <c r="R66" s="270">
        <f t="shared" si="16"/>
        <v>0</v>
      </c>
      <c r="S66" s="277">
        <f>SUM_SEAP!S21*(BAU!S21+1)</f>
        <v>1250277.7863247863</v>
      </c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</row>
    <row r="67" spans="1:33" ht="15" customHeight="1" thickBot="1">
      <c r="A67" s="235"/>
      <c r="B67" s="278" t="s">
        <v>240</v>
      </c>
      <c r="C67" s="279"/>
      <c r="D67" s="280">
        <f>SUM(D60:D63,D66)</f>
        <v>2312803.5877186893</v>
      </c>
      <c r="E67" s="280">
        <f t="shared" ref="E67:Q67" si="17">SUM(E60:E63,E66)</f>
        <v>2020280.0778504461</v>
      </c>
      <c r="F67" s="280">
        <f t="shared" si="17"/>
        <v>1798068.6513143724</v>
      </c>
      <c r="G67" s="280">
        <f t="shared" si="17"/>
        <v>23610.986918369097</v>
      </c>
      <c r="H67" s="280">
        <f t="shared" si="17"/>
        <v>37622.14042559245</v>
      </c>
      <c r="I67" s="280">
        <f t="shared" si="17"/>
        <v>0</v>
      </c>
      <c r="J67" s="280">
        <f t="shared" si="17"/>
        <v>0</v>
      </c>
      <c r="K67" s="280">
        <f t="shared" si="17"/>
        <v>0</v>
      </c>
      <c r="L67" s="280">
        <f t="shared" si="17"/>
        <v>534677.22603695362</v>
      </c>
      <c r="M67" s="280">
        <f t="shared" si="17"/>
        <v>94011.596702893876</v>
      </c>
      <c r="N67" s="280">
        <f t="shared" si="17"/>
        <v>0</v>
      </c>
      <c r="O67" s="280">
        <f t="shared" si="17"/>
        <v>12080.280618786959</v>
      </c>
      <c r="P67" s="280">
        <f t="shared" si="17"/>
        <v>352182.15826020052</v>
      </c>
      <c r="Q67" s="280">
        <f t="shared" si="17"/>
        <v>6810.0874594990482</v>
      </c>
      <c r="R67" s="280">
        <f>SUM(R60:R63,R66)</f>
        <v>0</v>
      </c>
      <c r="S67" s="281">
        <f>SUM(S60:S66)</f>
        <v>7192146.7933058031</v>
      </c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</row>
    <row r="68" spans="1:33" ht="15" customHeight="1">
      <c r="A68" s="235"/>
      <c r="B68" s="282" t="s">
        <v>241</v>
      </c>
      <c r="C68" s="283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</row>
    <row r="69" spans="1:33" ht="15" customHeight="1">
      <c r="A69" s="235"/>
      <c r="B69" s="272" t="s">
        <v>242</v>
      </c>
      <c r="C69" s="286"/>
      <c r="D69" s="270">
        <f t="shared" ref="D69:R69" si="18">IFERROR((D46/$S46)*$S69,)</f>
        <v>0</v>
      </c>
      <c r="E69" s="270">
        <f t="shared" si="18"/>
        <v>0</v>
      </c>
      <c r="F69" s="270">
        <f t="shared" si="18"/>
        <v>0</v>
      </c>
      <c r="G69" s="270">
        <f t="shared" si="18"/>
        <v>0</v>
      </c>
      <c r="H69" s="270">
        <f t="shared" si="18"/>
        <v>0</v>
      </c>
      <c r="I69" s="270">
        <f t="shared" si="18"/>
        <v>9.740222916666666E-3</v>
      </c>
      <c r="J69" s="270">
        <f t="shared" si="18"/>
        <v>17.611999999999998</v>
      </c>
      <c r="K69" s="270">
        <f t="shared" si="18"/>
        <v>0</v>
      </c>
      <c r="L69" s="270">
        <f t="shared" si="18"/>
        <v>0</v>
      </c>
      <c r="M69" s="270">
        <f t="shared" si="18"/>
        <v>0</v>
      </c>
      <c r="N69" s="270">
        <f t="shared" si="18"/>
        <v>0</v>
      </c>
      <c r="O69" s="270">
        <f t="shared" si="18"/>
        <v>0</v>
      </c>
      <c r="P69" s="270">
        <f t="shared" si="18"/>
        <v>0</v>
      </c>
      <c r="Q69" s="270">
        <f t="shared" si="18"/>
        <v>0</v>
      </c>
      <c r="R69" s="270">
        <f t="shared" si="18"/>
        <v>0</v>
      </c>
      <c r="S69" s="274">
        <f>SUM_SEAP!S24*(BAU!S24+1)</f>
        <v>17.621740222916664</v>
      </c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</row>
    <row r="70" spans="1:33" ht="15" customHeight="1">
      <c r="A70" s="235"/>
      <c r="B70" s="272" t="s">
        <v>243</v>
      </c>
      <c r="C70" s="286"/>
      <c r="D70" s="270">
        <f t="shared" ref="D70:R70" si="19">IFERROR((D47/$S47)*$S70,)</f>
        <v>73836.287168973489</v>
      </c>
      <c r="E70" s="270">
        <f t="shared" si="19"/>
        <v>0</v>
      </c>
      <c r="F70" s="270">
        <f t="shared" si="19"/>
        <v>0</v>
      </c>
      <c r="G70" s="270">
        <f t="shared" si="19"/>
        <v>0</v>
      </c>
      <c r="H70" s="270">
        <f t="shared" si="19"/>
        <v>0</v>
      </c>
      <c r="I70" s="270">
        <f t="shared" si="19"/>
        <v>123031.06637941361</v>
      </c>
      <c r="J70" s="270">
        <f t="shared" si="19"/>
        <v>0</v>
      </c>
      <c r="K70" s="270">
        <f t="shared" si="19"/>
        <v>0</v>
      </c>
      <c r="L70" s="270">
        <f t="shared" si="19"/>
        <v>0</v>
      </c>
      <c r="M70" s="270">
        <f t="shared" si="19"/>
        <v>0</v>
      </c>
      <c r="N70" s="270">
        <f t="shared" si="19"/>
        <v>0</v>
      </c>
      <c r="O70" s="270">
        <f t="shared" si="19"/>
        <v>0</v>
      </c>
      <c r="P70" s="270">
        <f t="shared" si="19"/>
        <v>0</v>
      </c>
      <c r="Q70" s="270">
        <f t="shared" si="19"/>
        <v>0</v>
      </c>
      <c r="R70" s="270">
        <f t="shared" si="19"/>
        <v>0</v>
      </c>
      <c r="S70" s="274">
        <f>SUM_SEAP!S25*(BAU!S25+1)</f>
        <v>196867.35354838709</v>
      </c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</row>
    <row r="71" spans="1:33" ht="15" customHeight="1">
      <c r="A71" s="235"/>
      <c r="B71" s="272" t="s">
        <v>244</v>
      </c>
      <c r="C71" s="286"/>
      <c r="D71" s="270">
        <f t="shared" ref="D71:R71" si="20">IFERROR((D48/$S48)*$S71,)</f>
        <v>21326.59940872615</v>
      </c>
      <c r="E71" s="270">
        <f t="shared" si="20"/>
        <v>0</v>
      </c>
      <c r="F71" s="270">
        <f t="shared" si="20"/>
        <v>2978.9304232502195</v>
      </c>
      <c r="G71" s="270">
        <f t="shared" si="20"/>
        <v>252269.36433611554</v>
      </c>
      <c r="H71" s="270">
        <f t="shared" si="20"/>
        <v>0</v>
      </c>
      <c r="I71" s="270">
        <f t="shared" si="20"/>
        <v>2114121.2287800671</v>
      </c>
      <c r="J71" s="270">
        <f t="shared" si="20"/>
        <v>1824258.6549451915</v>
      </c>
      <c r="K71" s="270">
        <f t="shared" si="20"/>
        <v>0</v>
      </c>
      <c r="L71" s="270">
        <f t="shared" si="20"/>
        <v>0</v>
      </c>
      <c r="M71" s="270">
        <f t="shared" si="20"/>
        <v>0</v>
      </c>
      <c r="N71" s="270">
        <f t="shared" si="20"/>
        <v>10.166637638203298</v>
      </c>
      <c r="O71" s="270">
        <f t="shared" si="20"/>
        <v>19.840306198660848</v>
      </c>
      <c r="P71" s="270">
        <f t="shared" si="20"/>
        <v>0</v>
      </c>
      <c r="Q71" s="270">
        <f t="shared" si="20"/>
        <v>0</v>
      </c>
      <c r="R71" s="270">
        <f t="shared" si="20"/>
        <v>0</v>
      </c>
      <c r="S71" s="274">
        <f>SUM_SEAP!S26*(BAU!S26+1)</f>
        <v>4214984.7848371873</v>
      </c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</row>
    <row r="72" spans="1:33" ht="15" customHeight="1" thickBot="1">
      <c r="A72" s="235"/>
      <c r="B72" s="528" t="s">
        <v>245</v>
      </c>
      <c r="C72" s="529"/>
      <c r="D72" s="280">
        <f>SUM(D69:D71)</f>
        <v>95162.886577699639</v>
      </c>
      <c r="E72" s="280">
        <f t="shared" ref="E72:Q72" si="21">SUM(E69:E71)</f>
        <v>0</v>
      </c>
      <c r="F72" s="280">
        <f t="shared" si="21"/>
        <v>2978.9304232502195</v>
      </c>
      <c r="G72" s="280">
        <f t="shared" si="21"/>
        <v>252269.36433611554</v>
      </c>
      <c r="H72" s="280">
        <f t="shared" si="21"/>
        <v>0</v>
      </c>
      <c r="I72" s="280">
        <f t="shared" si="21"/>
        <v>2237152.3048997037</v>
      </c>
      <c r="J72" s="280">
        <f t="shared" si="21"/>
        <v>1824276.2669451914</v>
      </c>
      <c r="K72" s="280">
        <f t="shared" si="21"/>
        <v>0</v>
      </c>
      <c r="L72" s="280">
        <f t="shared" si="21"/>
        <v>0</v>
      </c>
      <c r="M72" s="280">
        <f t="shared" si="21"/>
        <v>0</v>
      </c>
      <c r="N72" s="280">
        <f t="shared" si="21"/>
        <v>10.166637638203298</v>
      </c>
      <c r="O72" s="280">
        <f t="shared" si="21"/>
        <v>19.840306198660848</v>
      </c>
      <c r="P72" s="280">
        <f t="shared" si="21"/>
        <v>0</v>
      </c>
      <c r="Q72" s="280">
        <f t="shared" si="21"/>
        <v>0</v>
      </c>
      <c r="R72" s="280">
        <f>SUM(R69:R71)</f>
        <v>0</v>
      </c>
      <c r="S72" s="281">
        <f>SUM(S69:S71)</f>
        <v>4411869.7601257972</v>
      </c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</row>
    <row r="73" spans="1:33">
      <c r="A73" s="235"/>
      <c r="B73" s="287" t="s">
        <v>246</v>
      </c>
      <c r="C73" s="283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8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</row>
    <row r="74" spans="1:33" ht="15" customHeight="1">
      <c r="A74" s="235"/>
      <c r="B74" s="272" t="s">
        <v>247</v>
      </c>
      <c r="C74" s="286"/>
      <c r="D74" s="270">
        <f>IFERROR((D51/$S51)*$S74,)</f>
        <v>0</v>
      </c>
      <c r="E74" s="270">
        <f t="shared" ref="E74:R74" si="22">IFERROR((E51/$S51)*$S74,)</f>
        <v>0</v>
      </c>
      <c r="F74" s="270">
        <f t="shared" si="22"/>
        <v>4213.3674452867881</v>
      </c>
      <c r="G74" s="270">
        <f t="shared" si="22"/>
        <v>0</v>
      </c>
      <c r="H74" s="270">
        <f t="shared" si="22"/>
        <v>0</v>
      </c>
      <c r="I74" s="270">
        <f t="shared" si="22"/>
        <v>10894.451003836019</v>
      </c>
      <c r="J74" s="270">
        <f t="shared" si="22"/>
        <v>0</v>
      </c>
      <c r="K74" s="270">
        <f t="shared" si="22"/>
        <v>0</v>
      </c>
      <c r="L74" s="270">
        <f t="shared" si="22"/>
        <v>0</v>
      </c>
      <c r="M74" s="270">
        <f t="shared" si="22"/>
        <v>0</v>
      </c>
      <c r="N74" s="270">
        <f t="shared" si="22"/>
        <v>0</v>
      </c>
      <c r="O74" s="270">
        <f t="shared" si="22"/>
        <v>0</v>
      </c>
      <c r="P74" s="270">
        <f t="shared" si="22"/>
        <v>0</v>
      </c>
      <c r="Q74" s="270">
        <f t="shared" si="22"/>
        <v>0</v>
      </c>
      <c r="R74" s="270">
        <f t="shared" si="22"/>
        <v>0</v>
      </c>
      <c r="S74" s="274">
        <f>SUM_SEAP!S29*(BAU!S29+1)</f>
        <v>15107.818449122806</v>
      </c>
      <c r="T74" s="235"/>
      <c r="U74" s="235" t="s">
        <v>327</v>
      </c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</row>
    <row r="75" spans="1:33" ht="15.75" customHeight="1" thickBot="1">
      <c r="A75" s="235"/>
      <c r="B75" s="563" t="s">
        <v>248</v>
      </c>
      <c r="C75" s="564"/>
      <c r="D75" s="417">
        <f>D67+D72+D74</f>
        <v>2407966.4742963891</v>
      </c>
      <c r="E75" s="417">
        <f t="shared" ref="E75:R75" si="23">E67+E72+E74</f>
        <v>2020280.0778504461</v>
      </c>
      <c r="F75" s="417">
        <f t="shared" si="23"/>
        <v>1805260.9491829094</v>
      </c>
      <c r="G75" s="417">
        <f t="shared" si="23"/>
        <v>275880.35125448462</v>
      </c>
      <c r="H75" s="417">
        <f t="shared" si="23"/>
        <v>37622.14042559245</v>
      </c>
      <c r="I75" s="417">
        <f t="shared" si="23"/>
        <v>2248046.7559035397</v>
      </c>
      <c r="J75" s="417">
        <f t="shared" si="23"/>
        <v>1824276.2669451914</v>
      </c>
      <c r="K75" s="417">
        <f t="shared" si="23"/>
        <v>0</v>
      </c>
      <c r="L75" s="417">
        <f t="shared" si="23"/>
        <v>534677.22603695362</v>
      </c>
      <c r="M75" s="417">
        <f t="shared" si="23"/>
        <v>94011.596702893876</v>
      </c>
      <c r="N75" s="417">
        <f t="shared" si="23"/>
        <v>10.166637638203298</v>
      </c>
      <c r="O75" s="417">
        <f t="shared" si="23"/>
        <v>12100.12092498562</v>
      </c>
      <c r="P75" s="417">
        <f t="shared" si="23"/>
        <v>352182.15826020052</v>
      </c>
      <c r="Q75" s="417">
        <f t="shared" si="23"/>
        <v>6810.0874594990482</v>
      </c>
      <c r="R75" s="417">
        <f t="shared" si="23"/>
        <v>0</v>
      </c>
      <c r="S75" s="417">
        <f>S67+S72+S74</f>
        <v>11619124.371880723</v>
      </c>
      <c r="T75" s="235"/>
      <c r="U75" s="235" t="s">
        <v>328</v>
      </c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</row>
    <row r="76" spans="1:33" ht="13.5" thickBot="1">
      <c r="A76" s="235"/>
      <c r="B76" s="420" t="s">
        <v>326</v>
      </c>
      <c r="C76" s="421">
        <f>SUM_SEAP!E3</f>
        <v>2014</v>
      </c>
      <c r="D76" s="418">
        <f>IFERROR(D75/SUM_SEAP!D30,)</f>
        <v>1.1387122509251641</v>
      </c>
      <c r="E76" s="418">
        <f>IFERROR(E75/SUM_SEAP!E30,)</f>
        <v>1.0814575372733821</v>
      </c>
      <c r="F76" s="418">
        <f>IFERROR(F75/SUM_SEAP!F30,)</f>
        <v>1.0427083113649538</v>
      </c>
      <c r="G76" s="418">
        <f>IFERROR(G75/SUM_SEAP!G30,)</f>
        <v>1.1089009818020357</v>
      </c>
      <c r="H76" s="418">
        <f>IFERROR(H75/SUM_SEAP!H30,)</f>
        <v>1.0798424709235792</v>
      </c>
      <c r="I76" s="418">
        <f>IFERROR(I75/SUM_SEAP!I30,)</f>
        <v>1.1207329006972286</v>
      </c>
      <c r="J76" s="418">
        <f>IFERROR(J75/SUM_SEAP!J30,)</f>
        <v>1.1233576789974882</v>
      </c>
      <c r="K76" s="418">
        <f>IFERROR(K75/SUM_SEAP!K30,)</f>
        <v>0</v>
      </c>
      <c r="L76" s="418">
        <f>IFERROR(L75/SUM_SEAP!L30,)</f>
        <v>0.88715573097968536</v>
      </c>
      <c r="M76" s="418">
        <f>IFERROR(M75/SUM_SEAP!M30,)</f>
        <v>0.96270272138136326</v>
      </c>
      <c r="N76" s="418">
        <f>IFERROR(N75/SUM_SEAP!N30,)</f>
        <v>1.2502146377874599</v>
      </c>
      <c r="O76" s="418">
        <f>IFERROR(O75/SUM_SEAP!O30,)</f>
        <v>1.0367037796558294</v>
      </c>
      <c r="P76" s="418">
        <f>IFERROR(P75/SUM_SEAP!P30,)</f>
        <v>1.073025871960043</v>
      </c>
      <c r="Q76" s="418">
        <f>IFERROR(Q75/SUM_SEAP!Q30,)</f>
        <v>1.0730258719600427</v>
      </c>
      <c r="R76" s="418">
        <f>IFERROR(R75/SUM_SEAP!R30,)</f>
        <v>0</v>
      </c>
      <c r="S76" s="419">
        <f>IFERROR(S75/SUM_SEAP!S30,)</f>
        <v>1.0885345086071079</v>
      </c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</row>
    <row r="77" spans="1:33" ht="15.75" hidden="1">
      <c r="A77" s="235"/>
      <c r="B77" s="291" t="s">
        <v>249</v>
      </c>
      <c r="C77" s="292"/>
      <c r="D77" s="292"/>
      <c r="E77" s="238"/>
      <c r="F77" s="238"/>
      <c r="G77" s="238"/>
      <c r="H77" s="238"/>
      <c r="I77" s="238"/>
      <c r="J77" s="238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</row>
    <row r="78" spans="1:33" ht="55.5" hidden="1" customHeight="1">
      <c r="A78" s="235"/>
      <c r="B78" s="304" t="s">
        <v>250</v>
      </c>
      <c r="C78" s="339" t="s">
        <v>251</v>
      </c>
      <c r="D78" s="339" t="s">
        <v>252</v>
      </c>
      <c r="E78" s="340" t="s">
        <v>253</v>
      </c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</row>
    <row r="79" spans="1:33" hidden="1">
      <c r="A79" s="235"/>
      <c r="B79" s="296" t="s">
        <v>254</v>
      </c>
      <c r="C79" s="297"/>
      <c r="D79" s="298"/>
      <c r="E79" s="299">
        <f>C79*D79</f>
        <v>0</v>
      </c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</row>
    <row r="80" spans="1:33" ht="15" hidden="1" customHeight="1">
      <c r="A80" s="235"/>
      <c r="B80" s="296" t="s">
        <v>255</v>
      </c>
      <c r="C80" s="297"/>
      <c r="D80" s="298"/>
      <c r="E80" s="299">
        <f>C80*D80</f>
        <v>0</v>
      </c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</row>
    <row r="81" spans="1:33" ht="15" hidden="1" customHeight="1">
      <c r="A81" s="235"/>
      <c r="B81" s="296" t="s">
        <v>256</v>
      </c>
      <c r="C81" s="297"/>
      <c r="D81" s="298"/>
      <c r="E81" s="299">
        <f>C81*D81</f>
        <v>0</v>
      </c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</row>
    <row r="82" spans="1:33" ht="15" hidden="1" customHeight="1">
      <c r="A82" s="235"/>
      <c r="B82" s="296" t="s">
        <v>257</v>
      </c>
      <c r="C82" s="297"/>
      <c r="D82" s="298"/>
      <c r="E82" s="299">
        <f>C82*D82</f>
        <v>0</v>
      </c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</row>
    <row r="83" spans="1:33" ht="13.5" hidden="1" thickBot="1">
      <c r="A83" s="235"/>
      <c r="B83" s="300" t="s">
        <v>248</v>
      </c>
      <c r="C83" s="301">
        <f>SUM(C79:C82)</f>
        <v>0</v>
      </c>
      <c r="D83" s="302"/>
      <c r="E83" s="303">
        <f>SUM(E79:E82)</f>
        <v>0</v>
      </c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</row>
    <row r="84" spans="1:33" hidden="1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</row>
    <row r="85" spans="1:33" ht="15.75" hidden="1">
      <c r="A85" s="235"/>
      <c r="B85" s="291" t="s">
        <v>258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</row>
    <row r="86" spans="1:33" ht="14.25" hidden="1" customHeight="1">
      <c r="A86" s="235"/>
      <c r="B86" s="547" t="s">
        <v>259</v>
      </c>
      <c r="C86" s="554" t="s">
        <v>260</v>
      </c>
      <c r="D86" s="555"/>
      <c r="E86" s="558" t="s">
        <v>261</v>
      </c>
      <c r="F86" s="542"/>
      <c r="G86" s="542"/>
      <c r="H86" s="542"/>
      <c r="I86" s="542"/>
      <c r="J86" s="542"/>
      <c r="K86" s="542"/>
      <c r="L86" s="542"/>
      <c r="M86" s="542"/>
      <c r="N86" s="559"/>
      <c r="O86" s="554" t="s">
        <v>253</v>
      </c>
      <c r="P86" s="55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</row>
    <row r="87" spans="1:33" ht="14.25" hidden="1" customHeight="1">
      <c r="A87" s="235"/>
      <c r="B87" s="548"/>
      <c r="C87" s="556"/>
      <c r="D87" s="557"/>
      <c r="E87" s="560" t="s">
        <v>224</v>
      </c>
      <c r="F87" s="561"/>
      <c r="G87" s="561"/>
      <c r="H87" s="561"/>
      <c r="I87" s="562"/>
      <c r="J87" s="549" t="s">
        <v>262</v>
      </c>
      <c r="K87" s="549" t="s">
        <v>230</v>
      </c>
      <c r="L87" s="549" t="s">
        <v>232</v>
      </c>
      <c r="M87" s="549" t="s">
        <v>263</v>
      </c>
      <c r="N87" s="549" t="s">
        <v>264</v>
      </c>
      <c r="O87" s="556"/>
      <c r="P87" s="557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</row>
    <row r="88" spans="1:33" ht="38.25" hidden="1" customHeight="1">
      <c r="A88" s="235"/>
      <c r="B88" s="548"/>
      <c r="C88" s="341" t="s">
        <v>226</v>
      </c>
      <c r="D88" s="341" t="s">
        <v>265</v>
      </c>
      <c r="E88" s="341" t="s">
        <v>80</v>
      </c>
      <c r="F88" s="341" t="s">
        <v>227</v>
      </c>
      <c r="G88" s="341" t="s">
        <v>82</v>
      </c>
      <c r="H88" s="341" t="s">
        <v>228</v>
      </c>
      <c r="I88" s="341" t="s">
        <v>86</v>
      </c>
      <c r="J88" s="550"/>
      <c r="K88" s="550"/>
      <c r="L88" s="550"/>
      <c r="M88" s="550"/>
      <c r="N88" s="550"/>
      <c r="O88" s="341" t="s">
        <v>266</v>
      </c>
      <c r="P88" s="341" t="s">
        <v>267</v>
      </c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</row>
    <row r="89" spans="1:33" hidden="1">
      <c r="A89" s="235"/>
      <c r="B89" s="306" t="s">
        <v>268</v>
      </c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</row>
    <row r="90" spans="1:33" hidden="1">
      <c r="A90" s="235"/>
      <c r="B90" s="306" t="s">
        <v>264</v>
      </c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</row>
    <row r="91" spans="1:33" ht="13.5" hidden="1" thickBot="1">
      <c r="A91" s="235"/>
      <c r="B91" s="300" t="s">
        <v>226</v>
      </c>
      <c r="C91" s="301">
        <f>SUM(C89:C90)</f>
        <v>0</v>
      </c>
      <c r="D91" s="301">
        <f t="shared" ref="D91:P91" si="24">SUM(D89:D90)</f>
        <v>0</v>
      </c>
      <c r="E91" s="301">
        <f t="shared" si="24"/>
        <v>0</v>
      </c>
      <c r="F91" s="301">
        <f t="shared" si="24"/>
        <v>0</v>
      </c>
      <c r="G91" s="301">
        <f t="shared" si="24"/>
        <v>0</v>
      </c>
      <c r="H91" s="301">
        <f t="shared" si="24"/>
        <v>0</v>
      </c>
      <c r="I91" s="301">
        <f t="shared" si="24"/>
        <v>0</v>
      </c>
      <c r="J91" s="301">
        <f t="shared" si="24"/>
        <v>0</v>
      </c>
      <c r="K91" s="301">
        <f t="shared" si="24"/>
        <v>0</v>
      </c>
      <c r="L91" s="301">
        <f t="shared" si="24"/>
        <v>0</v>
      </c>
      <c r="M91" s="301">
        <f t="shared" si="24"/>
        <v>0</v>
      </c>
      <c r="N91" s="301">
        <f t="shared" si="24"/>
        <v>0</v>
      </c>
      <c r="O91" s="301">
        <f t="shared" si="24"/>
        <v>0</v>
      </c>
      <c r="P91" s="301">
        <f t="shared" si="24"/>
        <v>0</v>
      </c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</row>
    <row r="92" spans="1:33" hidden="1">
      <c r="A92" s="235"/>
      <c r="B92" s="240"/>
      <c r="C92" s="240"/>
      <c r="D92" s="30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</row>
    <row r="93" spans="1:33" ht="15.75" hidden="1">
      <c r="A93" s="235"/>
      <c r="B93" s="291" t="s">
        <v>269</v>
      </c>
      <c r="C93" s="240"/>
      <c r="D93" s="30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</row>
    <row r="94" spans="1:33" ht="14.25" hidden="1" customHeight="1">
      <c r="A94" s="235"/>
      <c r="B94" s="551" t="s">
        <v>270</v>
      </c>
      <c r="C94" s="554" t="s">
        <v>271</v>
      </c>
      <c r="D94" s="555"/>
      <c r="E94" s="558" t="s">
        <v>261</v>
      </c>
      <c r="F94" s="542"/>
      <c r="G94" s="542"/>
      <c r="H94" s="542"/>
      <c r="I94" s="542"/>
      <c r="J94" s="542"/>
      <c r="K94" s="542"/>
      <c r="L94" s="542"/>
      <c r="M94" s="542"/>
      <c r="N94" s="559"/>
      <c r="O94" s="554" t="s">
        <v>253</v>
      </c>
      <c r="P94" s="55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</row>
    <row r="95" spans="1:33" ht="14.25" hidden="1" customHeight="1">
      <c r="A95" s="235"/>
      <c r="B95" s="552"/>
      <c r="C95" s="556"/>
      <c r="D95" s="557"/>
      <c r="E95" s="560" t="s">
        <v>224</v>
      </c>
      <c r="F95" s="561"/>
      <c r="G95" s="561"/>
      <c r="H95" s="561"/>
      <c r="I95" s="562"/>
      <c r="J95" s="549" t="s">
        <v>262</v>
      </c>
      <c r="K95" s="549" t="s">
        <v>230</v>
      </c>
      <c r="L95" s="549" t="s">
        <v>232</v>
      </c>
      <c r="M95" s="549" t="s">
        <v>263</v>
      </c>
      <c r="N95" s="549" t="s">
        <v>264</v>
      </c>
      <c r="O95" s="556"/>
      <c r="P95" s="557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</row>
    <row r="96" spans="1:33" ht="35.25" hidden="1" customHeight="1">
      <c r="A96" s="235"/>
      <c r="B96" s="553"/>
      <c r="C96" s="341" t="s">
        <v>226</v>
      </c>
      <c r="D96" s="341" t="s">
        <v>265</v>
      </c>
      <c r="E96" s="341" t="s">
        <v>80</v>
      </c>
      <c r="F96" s="341" t="s">
        <v>227</v>
      </c>
      <c r="G96" s="341" t="s">
        <v>82</v>
      </c>
      <c r="H96" s="341" t="s">
        <v>228</v>
      </c>
      <c r="I96" s="341" t="s">
        <v>86</v>
      </c>
      <c r="J96" s="550"/>
      <c r="K96" s="550"/>
      <c r="L96" s="550"/>
      <c r="M96" s="550"/>
      <c r="N96" s="550"/>
      <c r="O96" s="341" t="s">
        <v>266</v>
      </c>
      <c r="P96" s="341" t="s">
        <v>267</v>
      </c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</row>
    <row r="97" spans="1:33" hidden="1">
      <c r="B97" s="306" t="s">
        <v>268</v>
      </c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9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</row>
    <row r="98" spans="1:33" hidden="1">
      <c r="A98" s="235"/>
      <c r="B98" s="306" t="s">
        <v>272</v>
      </c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9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</row>
    <row r="99" spans="1:33" hidden="1">
      <c r="A99" s="235"/>
      <c r="B99" s="306" t="s">
        <v>264</v>
      </c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9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</row>
    <row r="100" spans="1:33" ht="13.5" hidden="1" thickBot="1">
      <c r="A100" s="235"/>
      <c r="B100" s="300" t="s">
        <v>226</v>
      </c>
      <c r="C100" s="301">
        <v>0</v>
      </c>
      <c r="D100" s="301">
        <v>0</v>
      </c>
      <c r="E100" s="301">
        <v>0</v>
      </c>
      <c r="F100" s="301">
        <v>0</v>
      </c>
      <c r="G100" s="301">
        <v>0</v>
      </c>
      <c r="H100" s="301">
        <v>0</v>
      </c>
      <c r="I100" s="301">
        <v>0</v>
      </c>
      <c r="J100" s="301">
        <v>0</v>
      </c>
      <c r="K100" s="301">
        <v>0</v>
      </c>
      <c r="L100" s="301">
        <v>0</v>
      </c>
      <c r="M100" s="301">
        <v>0</v>
      </c>
      <c r="N100" s="301">
        <v>0</v>
      </c>
      <c r="O100" s="301">
        <v>0</v>
      </c>
      <c r="P100" s="301">
        <v>0</v>
      </c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</row>
    <row r="101" spans="1:33" hidden="1">
      <c r="A101" s="235"/>
      <c r="B101" s="240"/>
      <c r="C101" s="240"/>
      <c r="D101" s="30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</row>
    <row r="102" spans="1:33" ht="16.5" thickBot="1">
      <c r="A102" s="235"/>
      <c r="B102" s="291" t="s">
        <v>116</v>
      </c>
      <c r="C102" s="310"/>
      <c r="D102" s="310"/>
      <c r="E102" s="310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</row>
    <row r="103" spans="1:33" ht="15" customHeight="1">
      <c r="A103" s="235"/>
      <c r="B103" s="547" t="s">
        <v>284</v>
      </c>
      <c r="C103" s="538" t="s">
        <v>77</v>
      </c>
      <c r="D103" s="538"/>
      <c r="E103" s="538" t="s">
        <v>223</v>
      </c>
      <c r="F103" s="538" t="s">
        <v>224</v>
      </c>
      <c r="G103" s="538"/>
      <c r="H103" s="538"/>
      <c r="I103" s="538"/>
      <c r="J103" s="538"/>
      <c r="K103" s="538"/>
      <c r="L103" s="538"/>
      <c r="M103" s="538"/>
      <c r="N103" s="538" t="s">
        <v>225</v>
      </c>
      <c r="O103" s="538"/>
      <c r="P103" s="538"/>
      <c r="Q103" s="538"/>
      <c r="R103" s="540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</row>
    <row r="104" spans="1:33" ht="30" customHeight="1">
      <c r="A104" s="235"/>
      <c r="B104" s="548"/>
      <c r="C104" s="341" t="s">
        <v>273</v>
      </c>
      <c r="D104" s="341" t="s">
        <v>274</v>
      </c>
      <c r="E104" s="539"/>
      <c r="F104" s="341" t="s">
        <v>80</v>
      </c>
      <c r="G104" s="341" t="s">
        <v>227</v>
      </c>
      <c r="H104" s="341" t="s">
        <v>82</v>
      </c>
      <c r="I104" s="341" t="s">
        <v>275</v>
      </c>
      <c r="J104" s="341" t="s">
        <v>85</v>
      </c>
      <c r="K104" s="341" t="s">
        <v>228</v>
      </c>
      <c r="L104" s="341" t="s">
        <v>86</v>
      </c>
      <c r="M104" s="341" t="s">
        <v>229</v>
      </c>
      <c r="N104" s="341" t="s">
        <v>231</v>
      </c>
      <c r="O104" s="341" t="s">
        <v>230</v>
      </c>
      <c r="P104" s="341" t="s">
        <v>232</v>
      </c>
      <c r="Q104" s="341" t="s">
        <v>233</v>
      </c>
      <c r="R104" s="311" t="s">
        <v>234</v>
      </c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</row>
    <row r="105" spans="1:33" ht="14.25">
      <c r="A105" s="235"/>
      <c r="B105" s="343" t="s">
        <v>285</v>
      </c>
      <c r="C105" s="347" t="e">
        <f>#REF!*3.6/1000</f>
        <v>#REF!</v>
      </c>
      <c r="D105" s="342" t="s">
        <v>139</v>
      </c>
      <c r="E105" s="347" t="e">
        <f>#REF!*3.6/1000</f>
        <v>#REF!</v>
      </c>
      <c r="F105" s="347" t="e">
        <f>#REF!*3.6/1000</f>
        <v>#REF!</v>
      </c>
      <c r="G105" s="347" t="e">
        <f>#REF!*3.6/1000</f>
        <v>#REF!</v>
      </c>
      <c r="H105" s="347" t="e">
        <f>#REF!*3.6/1000</f>
        <v>#REF!</v>
      </c>
      <c r="I105" s="347" t="e">
        <f>#REF!*3.6/1000</f>
        <v>#REF!</v>
      </c>
      <c r="J105" s="347" t="e">
        <f>#REF!*3.6/1000</f>
        <v>#REF!</v>
      </c>
      <c r="K105" s="347">
        <v>0</v>
      </c>
      <c r="L105" s="347" t="e">
        <f>#REF!*3.6/1000</f>
        <v>#REF!</v>
      </c>
      <c r="M105" s="347" t="e">
        <f>#REF!*3.6/1000</f>
        <v>#REF!</v>
      </c>
      <c r="N105" s="342">
        <v>0</v>
      </c>
      <c r="O105" s="342">
        <v>0</v>
      </c>
      <c r="P105" s="342">
        <v>0</v>
      </c>
      <c r="Q105" s="342">
        <v>0</v>
      </c>
      <c r="R105" s="342">
        <v>0</v>
      </c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</row>
    <row r="106" spans="1:33" ht="14.25">
      <c r="A106" s="235"/>
      <c r="B106" s="343" t="s">
        <v>286</v>
      </c>
      <c r="C106" s="348" t="e">
        <f>#REF!*3.6/1000</f>
        <v>#REF!</v>
      </c>
      <c r="D106" s="342" t="s">
        <v>139</v>
      </c>
      <c r="E106" s="342">
        <v>0</v>
      </c>
      <c r="F106" s="348" t="e">
        <f>#REF!*3.6/1000</f>
        <v>#REF!</v>
      </c>
      <c r="G106" s="348" t="e">
        <f>#REF!*3.6/1000</f>
        <v>#REF!</v>
      </c>
      <c r="H106" s="348" t="e">
        <f>#REF!*3.6/1000</f>
        <v>#REF!</v>
      </c>
      <c r="I106" s="348" t="e">
        <f>#REF!*3.6/1000</f>
        <v>#REF!</v>
      </c>
      <c r="J106" s="348" t="e">
        <f>#REF!*3.6/1000</f>
        <v>#REF!</v>
      </c>
      <c r="K106" s="348">
        <v>0</v>
      </c>
      <c r="L106" s="348" t="e">
        <f>#REF!*3.6/1000</f>
        <v>#REF!</v>
      </c>
      <c r="M106" s="348" t="e">
        <f>#REF!*3.6/1000</f>
        <v>#REF!</v>
      </c>
      <c r="N106" s="342">
        <v>0</v>
      </c>
      <c r="O106" s="342">
        <v>0</v>
      </c>
      <c r="P106" s="342">
        <v>0</v>
      </c>
      <c r="Q106" s="342">
        <v>0</v>
      </c>
      <c r="R106" s="342">
        <v>0</v>
      </c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</row>
    <row r="107" spans="1:33" ht="14.25">
      <c r="A107" s="235"/>
      <c r="B107" s="343" t="s">
        <v>287</v>
      </c>
      <c r="C107" s="348" t="e">
        <f>#REF!*3.6/1000</f>
        <v>#REF!</v>
      </c>
      <c r="D107" s="342" t="s">
        <v>139</v>
      </c>
      <c r="E107" s="342">
        <v>0</v>
      </c>
      <c r="F107" s="348" t="e">
        <f>#REF!*3.6/1000</f>
        <v>#REF!</v>
      </c>
      <c r="G107" s="348" t="e">
        <f>#REF!*3.6/1000</f>
        <v>#REF!</v>
      </c>
      <c r="H107" s="348" t="e">
        <f>#REF!*3.6/1000</f>
        <v>#REF!</v>
      </c>
      <c r="I107" s="348" t="e">
        <f>#REF!*3.6/1000</f>
        <v>#REF!</v>
      </c>
      <c r="J107" s="348" t="e">
        <f>#REF!*3.6/1000</f>
        <v>#REF!</v>
      </c>
      <c r="K107" s="348">
        <v>0</v>
      </c>
      <c r="L107" s="348" t="e">
        <f>#REF!*3.6/1000</f>
        <v>#REF!</v>
      </c>
      <c r="M107" s="348" t="e">
        <f>#REF!*3.6/1000</f>
        <v>#REF!</v>
      </c>
      <c r="N107" s="342">
        <v>0</v>
      </c>
      <c r="O107" s="342">
        <v>0</v>
      </c>
      <c r="P107" s="342">
        <v>0</v>
      </c>
      <c r="Q107" s="342">
        <v>0</v>
      </c>
      <c r="R107" s="342">
        <v>0</v>
      </c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</row>
    <row r="108" spans="1:33" ht="14.25">
      <c r="A108" s="235"/>
      <c r="B108" s="343" t="s">
        <v>288</v>
      </c>
      <c r="C108" s="342" t="e">
        <f t="shared" ref="C108:R108" si="25">GWP_CH4</f>
        <v>#REF!</v>
      </c>
      <c r="D108" s="342" t="e">
        <f t="shared" si="25"/>
        <v>#REF!</v>
      </c>
      <c r="E108" s="342" t="e">
        <f t="shared" si="25"/>
        <v>#REF!</v>
      </c>
      <c r="F108" s="342" t="e">
        <f t="shared" si="25"/>
        <v>#REF!</v>
      </c>
      <c r="G108" s="342" t="e">
        <f t="shared" si="25"/>
        <v>#REF!</v>
      </c>
      <c r="H108" s="342" t="e">
        <f t="shared" si="25"/>
        <v>#REF!</v>
      </c>
      <c r="I108" s="342" t="e">
        <f t="shared" si="25"/>
        <v>#REF!</v>
      </c>
      <c r="J108" s="342" t="e">
        <f t="shared" si="25"/>
        <v>#REF!</v>
      </c>
      <c r="K108" s="342" t="e">
        <f t="shared" si="25"/>
        <v>#REF!</v>
      </c>
      <c r="L108" s="342" t="e">
        <f t="shared" si="25"/>
        <v>#REF!</v>
      </c>
      <c r="M108" s="342" t="e">
        <f t="shared" si="25"/>
        <v>#REF!</v>
      </c>
      <c r="N108" s="342" t="e">
        <f t="shared" si="25"/>
        <v>#REF!</v>
      </c>
      <c r="O108" s="342" t="e">
        <f t="shared" si="25"/>
        <v>#REF!</v>
      </c>
      <c r="P108" s="342" t="e">
        <f t="shared" si="25"/>
        <v>#REF!</v>
      </c>
      <c r="Q108" s="342" t="e">
        <f t="shared" si="25"/>
        <v>#REF!</v>
      </c>
      <c r="R108" s="342" t="e">
        <f t="shared" si="25"/>
        <v>#REF!</v>
      </c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</row>
    <row r="109" spans="1:33" ht="15" thickBot="1">
      <c r="A109" s="235"/>
      <c r="B109" s="349" t="s">
        <v>289</v>
      </c>
      <c r="C109" s="312" t="e">
        <f t="shared" ref="C109:R109" si="26">GWP_N2O</f>
        <v>#REF!</v>
      </c>
      <c r="D109" s="312" t="e">
        <f t="shared" si="26"/>
        <v>#REF!</v>
      </c>
      <c r="E109" s="312" t="e">
        <f t="shared" si="26"/>
        <v>#REF!</v>
      </c>
      <c r="F109" s="312" t="e">
        <f t="shared" si="26"/>
        <v>#REF!</v>
      </c>
      <c r="G109" s="312" t="e">
        <f t="shared" si="26"/>
        <v>#REF!</v>
      </c>
      <c r="H109" s="312" t="e">
        <f t="shared" si="26"/>
        <v>#REF!</v>
      </c>
      <c r="I109" s="312" t="e">
        <f t="shared" si="26"/>
        <v>#REF!</v>
      </c>
      <c r="J109" s="312" t="e">
        <f t="shared" si="26"/>
        <v>#REF!</v>
      </c>
      <c r="K109" s="312" t="e">
        <f t="shared" si="26"/>
        <v>#REF!</v>
      </c>
      <c r="L109" s="312" t="e">
        <f t="shared" si="26"/>
        <v>#REF!</v>
      </c>
      <c r="M109" s="312" t="e">
        <f t="shared" si="26"/>
        <v>#REF!</v>
      </c>
      <c r="N109" s="312" t="e">
        <f t="shared" si="26"/>
        <v>#REF!</v>
      </c>
      <c r="O109" s="312" t="e">
        <f t="shared" si="26"/>
        <v>#REF!</v>
      </c>
      <c r="P109" s="312" t="e">
        <f t="shared" si="26"/>
        <v>#REF!</v>
      </c>
      <c r="Q109" s="312" t="e">
        <f t="shared" si="26"/>
        <v>#REF!</v>
      </c>
      <c r="R109" s="312" t="e">
        <f t="shared" si="26"/>
        <v>#REF!</v>
      </c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</row>
    <row r="110" spans="1:33">
      <c r="A110" s="235"/>
      <c r="B110" s="240"/>
      <c r="C110" s="240"/>
      <c r="D110" s="30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</row>
    <row r="111" spans="1:33" ht="16.5" thickBot="1">
      <c r="A111" s="235"/>
      <c r="B111" s="291" t="s">
        <v>276</v>
      </c>
      <c r="C111" s="310"/>
      <c r="D111" s="310"/>
      <c r="E111" s="310"/>
      <c r="F111" s="310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</row>
    <row r="112" spans="1:33" ht="25.5" customHeight="1">
      <c r="A112" s="235"/>
      <c r="B112" s="313" t="s">
        <v>277</v>
      </c>
      <c r="C112" s="314" t="s">
        <v>278</v>
      </c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</row>
    <row r="113" spans="1:33" ht="15" customHeight="1">
      <c r="A113" s="235"/>
      <c r="B113" s="306" t="s">
        <v>4</v>
      </c>
      <c r="C113" s="350" t="e">
        <f>#REF!</f>
        <v>#REF!</v>
      </c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</row>
    <row r="114" spans="1:33" ht="15" customHeight="1">
      <c r="A114" s="235"/>
      <c r="B114" s="306" t="s">
        <v>18</v>
      </c>
      <c r="C114" s="315" t="e">
        <f>#REF!</f>
        <v>#REF!</v>
      </c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</row>
    <row r="115" spans="1:33" ht="15" customHeight="1" thickBot="1">
      <c r="A115" s="235"/>
      <c r="B115" s="316" t="s">
        <v>264</v>
      </c>
      <c r="C115" s="351" t="e">
        <f>SUM(#REF!,#REF!,#REF!)</f>
        <v>#REF!</v>
      </c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</row>
    <row r="116" spans="1:33">
      <c r="A116" s="235"/>
      <c r="B116" s="240"/>
      <c r="C116" s="240"/>
      <c r="D116" s="30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</row>
    <row r="117" spans="1:33" ht="24" thickBot="1">
      <c r="A117" s="235"/>
      <c r="B117" s="532" t="s">
        <v>318</v>
      </c>
      <c r="C117" s="532"/>
      <c r="D117" s="532"/>
      <c r="E117" s="532"/>
      <c r="F117" s="532"/>
      <c r="G117" s="532"/>
      <c r="H117" s="532"/>
      <c r="I117" s="532"/>
      <c r="J117" s="532"/>
      <c r="K117" s="532"/>
      <c r="L117" s="532"/>
      <c r="M117" s="532"/>
      <c r="N117" s="532"/>
      <c r="O117" s="532"/>
      <c r="P117" s="532"/>
      <c r="Q117" s="532"/>
      <c r="R117" s="532"/>
      <c r="S117" s="532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</row>
    <row r="118" spans="1:33" ht="14.25" customHeight="1">
      <c r="A118" s="319"/>
      <c r="B118" s="515" t="s">
        <v>2</v>
      </c>
      <c r="C118" s="516"/>
      <c r="D118" s="541" t="s">
        <v>280</v>
      </c>
      <c r="E118" s="542"/>
      <c r="F118" s="542"/>
      <c r="G118" s="542"/>
      <c r="H118" s="542"/>
      <c r="I118" s="542"/>
      <c r="J118" s="542"/>
      <c r="K118" s="542"/>
      <c r="L118" s="542"/>
      <c r="M118" s="542"/>
      <c r="N118" s="542"/>
      <c r="O118" s="542"/>
      <c r="P118" s="542"/>
      <c r="Q118" s="542"/>
      <c r="R118" s="542"/>
      <c r="S118" s="543"/>
      <c r="T118" s="319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</row>
    <row r="119" spans="1:33" ht="14.25" customHeight="1">
      <c r="A119" s="319"/>
      <c r="B119" s="517"/>
      <c r="C119" s="518"/>
      <c r="D119" s="522" t="s">
        <v>77</v>
      </c>
      <c r="E119" s="522" t="s">
        <v>223</v>
      </c>
      <c r="F119" s="522" t="s">
        <v>224</v>
      </c>
      <c r="G119" s="522"/>
      <c r="H119" s="522"/>
      <c r="I119" s="522"/>
      <c r="J119" s="522"/>
      <c r="K119" s="522"/>
      <c r="L119" s="522"/>
      <c r="M119" s="522"/>
      <c r="N119" s="522" t="s">
        <v>225</v>
      </c>
      <c r="O119" s="522"/>
      <c r="P119" s="522"/>
      <c r="Q119" s="522"/>
      <c r="R119" s="522"/>
      <c r="S119" s="534" t="s">
        <v>226</v>
      </c>
      <c r="T119" s="319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</row>
    <row r="120" spans="1:33" ht="26.25" thickBot="1">
      <c r="A120" s="319"/>
      <c r="B120" s="517"/>
      <c r="C120" s="518"/>
      <c r="D120" s="523"/>
      <c r="E120" s="523"/>
      <c r="F120" s="263" t="s">
        <v>80</v>
      </c>
      <c r="G120" s="263" t="s">
        <v>227</v>
      </c>
      <c r="H120" s="263" t="s">
        <v>82</v>
      </c>
      <c r="I120" s="263" t="s">
        <v>84</v>
      </c>
      <c r="J120" s="263" t="s">
        <v>85</v>
      </c>
      <c r="K120" s="263" t="s">
        <v>228</v>
      </c>
      <c r="L120" s="263" t="s">
        <v>86</v>
      </c>
      <c r="M120" s="263" t="s">
        <v>229</v>
      </c>
      <c r="N120" s="263" t="s">
        <v>230</v>
      </c>
      <c r="O120" s="263" t="s">
        <v>231</v>
      </c>
      <c r="P120" s="263" t="s">
        <v>232</v>
      </c>
      <c r="Q120" s="263" t="s">
        <v>233</v>
      </c>
      <c r="R120" s="263" t="s">
        <v>234</v>
      </c>
      <c r="S120" s="535"/>
      <c r="T120" s="319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</row>
    <row r="121" spans="1:33" ht="14.25" customHeight="1">
      <c r="A121" s="235"/>
      <c r="B121" s="320" t="s">
        <v>235</v>
      </c>
      <c r="C121" s="321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3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</row>
    <row r="122" spans="1:33" ht="14.25" customHeight="1">
      <c r="A122" s="235"/>
      <c r="B122" s="324" t="s">
        <v>236</v>
      </c>
      <c r="C122" s="325"/>
      <c r="D122" s="357" t="e">
        <f>D60*C$105+D60*C$106*C$108+D60*C$107*C$109</f>
        <v>#REF!</v>
      </c>
      <c r="E122" s="357" t="e">
        <f>E60*E$105+E60*E$106*E$108+E60*E$107*E$109</f>
        <v>#REF!</v>
      </c>
      <c r="F122" s="357" t="e">
        <f t="shared" ref="F122:R122" si="27">F60*F$105+F60*F$106*F$108+F60*F$107*F$109</f>
        <v>#REF!</v>
      </c>
      <c r="G122" s="357" t="e">
        <f t="shared" si="27"/>
        <v>#REF!</v>
      </c>
      <c r="H122" s="357" t="e">
        <f t="shared" si="27"/>
        <v>#REF!</v>
      </c>
      <c r="I122" s="357" t="e">
        <f t="shared" si="27"/>
        <v>#REF!</v>
      </c>
      <c r="J122" s="357" t="e">
        <f t="shared" si="27"/>
        <v>#REF!</v>
      </c>
      <c r="K122" s="357" t="e">
        <f t="shared" si="27"/>
        <v>#REF!</v>
      </c>
      <c r="L122" s="357" t="e">
        <f t="shared" si="27"/>
        <v>#REF!</v>
      </c>
      <c r="M122" s="357" t="e">
        <f t="shared" si="27"/>
        <v>#REF!</v>
      </c>
      <c r="N122" s="357" t="e">
        <f t="shared" si="27"/>
        <v>#REF!</v>
      </c>
      <c r="O122" s="357" t="e">
        <f t="shared" si="27"/>
        <v>#REF!</v>
      </c>
      <c r="P122" s="357" t="e">
        <f t="shared" si="27"/>
        <v>#REF!</v>
      </c>
      <c r="Q122" s="357" t="e">
        <f t="shared" si="27"/>
        <v>#REF!</v>
      </c>
      <c r="R122" s="357" t="e">
        <f t="shared" si="27"/>
        <v>#REF!</v>
      </c>
      <c r="S122" s="326" t="e">
        <f>SUM(D122:R122)</f>
        <v>#REF!</v>
      </c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</row>
    <row r="123" spans="1:33" ht="14.25" customHeight="1">
      <c r="A123" s="235"/>
      <c r="B123" s="327" t="s">
        <v>237</v>
      </c>
      <c r="C123" s="328"/>
      <c r="D123" s="357" t="e">
        <f t="shared" ref="D123:D128" si="28">D61*C$105+D61*C$106*C$108+D61*C$107*C$109</f>
        <v>#REF!</v>
      </c>
      <c r="E123" s="357" t="e">
        <f t="shared" ref="E123:R125" si="29">E61*E$105+E61*E$106*E$108+E61*E$107*E$109</f>
        <v>#REF!</v>
      </c>
      <c r="F123" s="357" t="e">
        <f t="shared" si="29"/>
        <v>#REF!</v>
      </c>
      <c r="G123" s="357" t="e">
        <f t="shared" si="29"/>
        <v>#REF!</v>
      </c>
      <c r="H123" s="357" t="e">
        <f t="shared" si="29"/>
        <v>#REF!</v>
      </c>
      <c r="I123" s="357" t="e">
        <f t="shared" si="29"/>
        <v>#REF!</v>
      </c>
      <c r="J123" s="357" t="e">
        <f t="shared" si="29"/>
        <v>#REF!</v>
      </c>
      <c r="K123" s="357" t="e">
        <f t="shared" si="29"/>
        <v>#REF!</v>
      </c>
      <c r="L123" s="357" t="e">
        <f t="shared" si="29"/>
        <v>#REF!</v>
      </c>
      <c r="M123" s="357" t="e">
        <f t="shared" si="29"/>
        <v>#REF!</v>
      </c>
      <c r="N123" s="357" t="e">
        <f t="shared" si="29"/>
        <v>#REF!</v>
      </c>
      <c r="O123" s="357" t="e">
        <f t="shared" si="29"/>
        <v>#REF!</v>
      </c>
      <c r="P123" s="357" t="e">
        <f t="shared" si="29"/>
        <v>#REF!</v>
      </c>
      <c r="Q123" s="357" t="e">
        <f t="shared" si="29"/>
        <v>#REF!</v>
      </c>
      <c r="R123" s="357" t="e">
        <f t="shared" si="29"/>
        <v>#REF!</v>
      </c>
      <c r="S123" s="326" t="e">
        <f t="shared" ref="S123:S128" si="30">SUM(D123:R123)</f>
        <v>#REF!</v>
      </c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</row>
    <row r="124" spans="1:33" ht="14.25" customHeight="1">
      <c r="A124" s="235"/>
      <c r="B124" s="327" t="s">
        <v>0</v>
      </c>
      <c r="C124" s="328"/>
      <c r="D124" s="357" t="e">
        <f t="shared" si="28"/>
        <v>#REF!</v>
      </c>
      <c r="E124" s="357" t="e">
        <f t="shared" si="29"/>
        <v>#REF!</v>
      </c>
      <c r="F124" s="357" t="e">
        <f t="shared" si="29"/>
        <v>#REF!</v>
      </c>
      <c r="G124" s="357" t="e">
        <f t="shared" si="29"/>
        <v>#REF!</v>
      </c>
      <c r="H124" s="357" t="e">
        <f t="shared" si="29"/>
        <v>#REF!</v>
      </c>
      <c r="I124" s="357" t="e">
        <f t="shared" si="29"/>
        <v>#REF!</v>
      </c>
      <c r="J124" s="357" t="e">
        <f t="shared" si="29"/>
        <v>#REF!</v>
      </c>
      <c r="K124" s="357" t="e">
        <f t="shared" si="29"/>
        <v>#REF!</v>
      </c>
      <c r="L124" s="357" t="e">
        <f t="shared" si="29"/>
        <v>#REF!</v>
      </c>
      <c r="M124" s="357" t="e">
        <f t="shared" si="29"/>
        <v>#REF!</v>
      </c>
      <c r="N124" s="357" t="e">
        <f t="shared" si="29"/>
        <v>#REF!</v>
      </c>
      <c r="O124" s="357" t="e">
        <f t="shared" si="29"/>
        <v>#REF!</v>
      </c>
      <c r="P124" s="357" t="e">
        <f t="shared" si="29"/>
        <v>#REF!</v>
      </c>
      <c r="Q124" s="357" t="e">
        <f t="shared" si="29"/>
        <v>#REF!</v>
      </c>
      <c r="R124" s="357" t="e">
        <f t="shared" si="29"/>
        <v>#REF!</v>
      </c>
      <c r="S124" s="326" t="e">
        <f t="shared" si="30"/>
        <v>#REF!</v>
      </c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</row>
    <row r="125" spans="1:33" ht="14.25" customHeight="1">
      <c r="A125" s="235"/>
      <c r="B125" s="327" t="s">
        <v>42</v>
      </c>
      <c r="C125" s="328"/>
      <c r="D125" s="357" t="e">
        <f t="shared" si="28"/>
        <v>#REF!</v>
      </c>
      <c r="E125" s="357" t="e">
        <f t="shared" si="29"/>
        <v>#REF!</v>
      </c>
      <c r="F125" s="357" t="e">
        <f t="shared" si="29"/>
        <v>#REF!</v>
      </c>
      <c r="G125" s="357" t="e">
        <f t="shared" si="29"/>
        <v>#REF!</v>
      </c>
      <c r="H125" s="357" t="e">
        <f t="shared" si="29"/>
        <v>#REF!</v>
      </c>
      <c r="I125" s="357" t="e">
        <f t="shared" si="29"/>
        <v>#REF!</v>
      </c>
      <c r="J125" s="357" t="e">
        <f t="shared" si="29"/>
        <v>#REF!</v>
      </c>
      <c r="K125" s="357" t="e">
        <f t="shared" si="29"/>
        <v>#REF!</v>
      </c>
      <c r="L125" s="357" t="e">
        <f t="shared" si="29"/>
        <v>#REF!</v>
      </c>
      <c r="M125" s="357" t="e">
        <f t="shared" si="29"/>
        <v>#REF!</v>
      </c>
      <c r="N125" s="357" t="e">
        <f t="shared" si="29"/>
        <v>#REF!</v>
      </c>
      <c r="O125" s="357" t="e">
        <f t="shared" si="29"/>
        <v>#REF!</v>
      </c>
      <c r="P125" s="357" t="e">
        <f t="shared" si="29"/>
        <v>#REF!</v>
      </c>
      <c r="Q125" s="357" t="e">
        <f t="shared" si="29"/>
        <v>#REF!</v>
      </c>
      <c r="R125" s="357" t="e">
        <f t="shared" si="29"/>
        <v>#REF!</v>
      </c>
      <c r="S125" s="326" t="e">
        <f t="shared" si="30"/>
        <v>#REF!</v>
      </c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</row>
    <row r="126" spans="1:33" ht="14.25" customHeight="1">
      <c r="A126" s="235"/>
      <c r="B126" s="544" t="s">
        <v>11</v>
      </c>
      <c r="C126" s="355" t="s">
        <v>238</v>
      </c>
      <c r="D126" s="356"/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6"/>
      <c r="P126" s="356"/>
      <c r="Q126" s="356"/>
      <c r="R126" s="356"/>
      <c r="S126" s="356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</row>
    <row r="127" spans="1:33" ht="14.25" customHeight="1">
      <c r="A127" s="235"/>
      <c r="B127" s="544"/>
      <c r="C127" s="355" t="s">
        <v>239</v>
      </c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6"/>
      <c r="P127" s="356"/>
      <c r="Q127" s="356"/>
      <c r="R127" s="356"/>
      <c r="S127" s="356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</row>
    <row r="128" spans="1:33">
      <c r="A128" s="235"/>
      <c r="B128" s="544"/>
      <c r="C128" s="275" t="s">
        <v>226</v>
      </c>
      <c r="D128" s="357" t="e">
        <f t="shared" si="28"/>
        <v>#REF!</v>
      </c>
      <c r="E128" s="357" t="e">
        <f t="shared" ref="E128:R128" si="31">E66*E$105+E66*E$106*E$108+E66*E$107*E$109</f>
        <v>#REF!</v>
      </c>
      <c r="F128" s="357" t="e">
        <f t="shared" si="31"/>
        <v>#REF!</v>
      </c>
      <c r="G128" s="357" t="e">
        <f t="shared" si="31"/>
        <v>#REF!</v>
      </c>
      <c r="H128" s="357" t="e">
        <f t="shared" si="31"/>
        <v>#REF!</v>
      </c>
      <c r="I128" s="357" t="e">
        <f t="shared" si="31"/>
        <v>#REF!</v>
      </c>
      <c r="J128" s="357" t="e">
        <f t="shared" si="31"/>
        <v>#REF!</v>
      </c>
      <c r="K128" s="357" t="e">
        <f t="shared" si="31"/>
        <v>#REF!</v>
      </c>
      <c r="L128" s="357" t="e">
        <f t="shared" si="31"/>
        <v>#REF!</v>
      </c>
      <c r="M128" s="357" t="e">
        <f t="shared" si="31"/>
        <v>#REF!</v>
      </c>
      <c r="N128" s="357" t="e">
        <f t="shared" si="31"/>
        <v>#REF!</v>
      </c>
      <c r="O128" s="357" t="e">
        <f t="shared" si="31"/>
        <v>#REF!</v>
      </c>
      <c r="P128" s="357" t="e">
        <f t="shared" si="31"/>
        <v>#REF!</v>
      </c>
      <c r="Q128" s="357" t="e">
        <f t="shared" si="31"/>
        <v>#REF!</v>
      </c>
      <c r="R128" s="357" t="e">
        <f t="shared" si="31"/>
        <v>#REF!</v>
      </c>
      <c r="S128" s="329" t="e">
        <f t="shared" si="30"/>
        <v>#REF!</v>
      </c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</row>
    <row r="129" spans="1:33">
      <c r="A129" s="235"/>
      <c r="B129" s="330" t="s">
        <v>281</v>
      </c>
      <c r="C129" s="331"/>
      <c r="D129" s="358" t="e">
        <f>SUM(D122:D125,D128)</f>
        <v>#REF!</v>
      </c>
      <c r="E129" s="358" t="e">
        <f t="shared" ref="E129:S129" si="32">SUM(E122:E125,E128)</f>
        <v>#REF!</v>
      </c>
      <c r="F129" s="358" t="e">
        <f t="shared" si="32"/>
        <v>#REF!</v>
      </c>
      <c r="G129" s="358" t="e">
        <f t="shared" si="32"/>
        <v>#REF!</v>
      </c>
      <c r="H129" s="358" t="e">
        <f t="shared" si="32"/>
        <v>#REF!</v>
      </c>
      <c r="I129" s="358" t="e">
        <f t="shared" si="32"/>
        <v>#REF!</v>
      </c>
      <c r="J129" s="358" t="e">
        <f t="shared" si="32"/>
        <v>#REF!</v>
      </c>
      <c r="K129" s="358" t="e">
        <f t="shared" si="32"/>
        <v>#REF!</v>
      </c>
      <c r="L129" s="358" t="e">
        <f t="shared" si="32"/>
        <v>#REF!</v>
      </c>
      <c r="M129" s="358" t="e">
        <f t="shared" si="32"/>
        <v>#REF!</v>
      </c>
      <c r="N129" s="358" t="e">
        <f t="shared" si="32"/>
        <v>#REF!</v>
      </c>
      <c r="O129" s="358" t="e">
        <f t="shared" si="32"/>
        <v>#REF!</v>
      </c>
      <c r="P129" s="358" t="e">
        <f t="shared" si="32"/>
        <v>#REF!</v>
      </c>
      <c r="Q129" s="358" t="e">
        <f t="shared" si="32"/>
        <v>#REF!</v>
      </c>
      <c r="R129" s="358" t="e">
        <f t="shared" si="32"/>
        <v>#REF!</v>
      </c>
      <c r="S129" s="326" t="e">
        <f t="shared" si="32"/>
        <v>#REF!</v>
      </c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</row>
    <row r="130" spans="1:33" ht="14.25" customHeight="1">
      <c r="A130" s="235"/>
      <c r="B130" s="332" t="s">
        <v>241</v>
      </c>
      <c r="C130" s="321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4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</row>
    <row r="131" spans="1:33" ht="14.25" customHeight="1">
      <c r="A131" s="235"/>
      <c r="B131" s="327" t="s">
        <v>242</v>
      </c>
      <c r="C131" s="335"/>
      <c r="D131" s="357" t="e">
        <f>D69*C$105+D69*C$106*C$108+D69*C$107*C$109</f>
        <v>#REF!</v>
      </c>
      <c r="E131" s="357" t="e">
        <f t="shared" ref="E131:R133" si="33">E69*E$105+E69*E$106*E$108+E69*E$107*E$109</f>
        <v>#REF!</v>
      </c>
      <c r="F131" s="357" t="e">
        <f t="shared" si="33"/>
        <v>#REF!</v>
      </c>
      <c r="G131" s="357" t="e">
        <f t="shared" si="33"/>
        <v>#REF!</v>
      </c>
      <c r="H131" s="357" t="e">
        <f t="shared" si="33"/>
        <v>#REF!</v>
      </c>
      <c r="I131" s="357" t="e">
        <f t="shared" si="33"/>
        <v>#REF!</v>
      </c>
      <c r="J131" s="357" t="e">
        <f t="shared" si="33"/>
        <v>#REF!</v>
      </c>
      <c r="K131" s="357" t="e">
        <f t="shared" si="33"/>
        <v>#REF!</v>
      </c>
      <c r="L131" s="357" t="e">
        <f t="shared" si="33"/>
        <v>#REF!</v>
      </c>
      <c r="M131" s="357" t="e">
        <f t="shared" si="33"/>
        <v>#REF!</v>
      </c>
      <c r="N131" s="357" t="e">
        <f t="shared" si="33"/>
        <v>#REF!</v>
      </c>
      <c r="O131" s="357" t="e">
        <f t="shared" si="33"/>
        <v>#REF!</v>
      </c>
      <c r="P131" s="357" t="e">
        <f t="shared" si="33"/>
        <v>#REF!</v>
      </c>
      <c r="Q131" s="357" t="e">
        <f t="shared" si="33"/>
        <v>#REF!</v>
      </c>
      <c r="R131" s="357" t="e">
        <f t="shared" si="33"/>
        <v>#REF!</v>
      </c>
      <c r="S131" s="326" t="e">
        <f>SUM(D131:R131)</f>
        <v>#REF!</v>
      </c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</row>
    <row r="132" spans="1:33" ht="14.25" customHeight="1">
      <c r="A132" s="235"/>
      <c r="B132" s="327" t="s">
        <v>243</v>
      </c>
      <c r="C132" s="335"/>
      <c r="D132" s="357" t="e">
        <f>D70*C$105+D70*C$106*C$108+D70*C$107*C$109</f>
        <v>#REF!</v>
      </c>
      <c r="E132" s="357" t="e">
        <f t="shared" si="33"/>
        <v>#REF!</v>
      </c>
      <c r="F132" s="357" t="e">
        <f t="shared" si="33"/>
        <v>#REF!</v>
      </c>
      <c r="G132" s="357" t="e">
        <f t="shared" si="33"/>
        <v>#REF!</v>
      </c>
      <c r="H132" s="357" t="e">
        <f t="shared" si="33"/>
        <v>#REF!</v>
      </c>
      <c r="I132" s="357" t="e">
        <f t="shared" si="33"/>
        <v>#REF!</v>
      </c>
      <c r="J132" s="357" t="e">
        <f t="shared" si="33"/>
        <v>#REF!</v>
      </c>
      <c r="K132" s="357" t="e">
        <f t="shared" si="33"/>
        <v>#REF!</v>
      </c>
      <c r="L132" s="357" t="e">
        <f t="shared" si="33"/>
        <v>#REF!</v>
      </c>
      <c r="M132" s="357" t="e">
        <f t="shared" si="33"/>
        <v>#REF!</v>
      </c>
      <c r="N132" s="357" t="e">
        <f t="shared" si="33"/>
        <v>#REF!</v>
      </c>
      <c r="O132" s="357" t="e">
        <f t="shared" si="33"/>
        <v>#REF!</v>
      </c>
      <c r="P132" s="357" t="e">
        <f t="shared" si="33"/>
        <v>#REF!</v>
      </c>
      <c r="Q132" s="357" t="e">
        <f t="shared" si="33"/>
        <v>#REF!</v>
      </c>
      <c r="R132" s="357" t="e">
        <f t="shared" si="33"/>
        <v>#REF!</v>
      </c>
      <c r="S132" s="326" t="e">
        <f>SUM(D132:R132)</f>
        <v>#REF!</v>
      </c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</row>
    <row r="133" spans="1:33" ht="14.25" customHeight="1">
      <c r="A133" s="235"/>
      <c r="B133" s="327" t="s">
        <v>244</v>
      </c>
      <c r="C133" s="335"/>
      <c r="D133" s="357" t="e">
        <f>D71*C$105+D71*C$106*C$108+D71*C$107*C$109</f>
        <v>#REF!</v>
      </c>
      <c r="E133" s="357" t="e">
        <f t="shared" si="33"/>
        <v>#REF!</v>
      </c>
      <c r="F133" s="357" t="e">
        <f t="shared" si="33"/>
        <v>#REF!</v>
      </c>
      <c r="G133" s="357" t="e">
        <f t="shared" si="33"/>
        <v>#REF!</v>
      </c>
      <c r="H133" s="357" t="e">
        <f t="shared" si="33"/>
        <v>#REF!</v>
      </c>
      <c r="I133" s="357" t="e">
        <f t="shared" si="33"/>
        <v>#REF!</v>
      </c>
      <c r="J133" s="357" t="e">
        <f t="shared" si="33"/>
        <v>#REF!</v>
      </c>
      <c r="K133" s="357" t="e">
        <f t="shared" si="33"/>
        <v>#REF!</v>
      </c>
      <c r="L133" s="357" t="e">
        <f t="shared" si="33"/>
        <v>#REF!</v>
      </c>
      <c r="M133" s="357" t="e">
        <f t="shared" si="33"/>
        <v>#REF!</v>
      </c>
      <c r="N133" s="357" t="e">
        <f t="shared" si="33"/>
        <v>#REF!</v>
      </c>
      <c r="O133" s="357" t="e">
        <f t="shared" si="33"/>
        <v>#REF!</v>
      </c>
      <c r="P133" s="357" t="e">
        <f t="shared" si="33"/>
        <v>#REF!</v>
      </c>
      <c r="Q133" s="357" t="e">
        <f t="shared" si="33"/>
        <v>#REF!</v>
      </c>
      <c r="R133" s="357" t="e">
        <f t="shared" si="33"/>
        <v>#REF!</v>
      </c>
      <c r="S133" s="326" t="e">
        <f>SUM(D133:R133)</f>
        <v>#REF!</v>
      </c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</row>
    <row r="134" spans="1:33">
      <c r="A134" s="235"/>
      <c r="B134" s="330" t="s">
        <v>281</v>
      </c>
      <c r="C134" s="331"/>
      <c r="D134" s="358" t="e">
        <f>SUM(D131:D133)</f>
        <v>#REF!</v>
      </c>
      <c r="E134" s="358" t="e">
        <f t="shared" ref="E134:R134" si="34">SUM(E131:E133)</f>
        <v>#REF!</v>
      </c>
      <c r="F134" s="358" t="e">
        <f t="shared" si="34"/>
        <v>#REF!</v>
      </c>
      <c r="G134" s="358" t="e">
        <f t="shared" si="34"/>
        <v>#REF!</v>
      </c>
      <c r="H134" s="358" t="e">
        <f t="shared" si="34"/>
        <v>#REF!</v>
      </c>
      <c r="I134" s="358" t="e">
        <f t="shared" si="34"/>
        <v>#REF!</v>
      </c>
      <c r="J134" s="358" t="e">
        <f t="shared" si="34"/>
        <v>#REF!</v>
      </c>
      <c r="K134" s="358" t="e">
        <f t="shared" si="34"/>
        <v>#REF!</v>
      </c>
      <c r="L134" s="358" t="e">
        <f t="shared" si="34"/>
        <v>#REF!</v>
      </c>
      <c r="M134" s="358" t="e">
        <f t="shared" si="34"/>
        <v>#REF!</v>
      </c>
      <c r="N134" s="358" t="e">
        <f t="shared" si="34"/>
        <v>#REF!</v>
      </c>
      <c r="O134" s="358" t="e">
        <f t="shared" si="34"/>
        <v>#REF!</v>
      </c>
      <c r="P134" s="358" t="e">
        <f t="shared" si="34"/>
        <v>#REF!</v>
      </c>
      <c r="Q134" s="358" t="e">
        <f t="shared" si="34"/>
        <v>#REF!</v>
      </c>
      <c r="R134" s="358" t="e">
        <f t="shared" si="34"/>
        <v>#REF!</v>
      </c>
      <c r="S134" s="326" t="e">
        <f>SUM(S131:S133)</f>
        <v>#REF!</v>
      </c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</row>
    <row r="135" spans="1:33">
      <c r="A135" s="235"/>
      <c r="B135" s="332" t="s">
        <v>282</v>
      </c>
      <c r="C135" s="321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4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</row>
    <row r="136" spans="1:33" ht="14.25" customHeight="1">
      <c r="A136" s="235"/>
      <c r="B136" s="327" t="s">
        <v>247</v>
      </c>
      <c r="C136" s="335"/>
      <c r="D136" s="357" t="e">
        <f>D74*C$105+D74*C$106*C$108+D74*C$107*C$109</f>
        <v>#REF!</v>
      </c>
      <c r="E136" s="357" t="e">
        <f t="shared" ref="E136:R136" si="35">E74*E$105+E74*E$106*E$108+E74*E$107*E$109</f>
        <v>#REF!</v>
      </c>
      <c r="F136" s="357" t="e">
        <f t="shared" si="35"/>
        <v>#REF!</v>
      </c>
      <c r="G136" s="357" t="e">
        <f t="shared" si="35"/>
        <v>#REF!</v>
      </c>
      <c r="H136" s="357" t="e">
        <f t="shared" si="35"/>
        <v>#REF!</v>
      </c>
      <c r="I136" s="357" t="e">
        <f t="shared" si="35"/>
        <v>#REF!</v>
      </c>
      <c r="J136" s="357" t="e">
        <f t="shared" si="35"/>
        <v>#REF!</v>
      </c>
      <c r="K136" s="357" t="e">
        <f t="shared" si="35"/>
        <v>#REF!</v>
      </c>
      <c r="L136" s="357" t="e">
        <f t="shared" si="35"/>
        <v>#REF!</v>
      </c>
      <c r="M136" s="357" t="e">
        <f t="shared" si="35"/>
        <v>#REF!</v>
      </c>
      <c r="N136" s="357" t="e">
        <f t="shared" si="35"/>
        <v>#REF!</v>
      </c>
      <c r="O136" s="357" t="e">
        <f t="shared" si="35"/>
        <v>#REF!</v>
      </c>
      <c r="P136" s="357" t="e">
        <f t="shared" si="35"/>
        <v>#REF!</v>
      </c>
      <c r="Q136" s="357" t="e">
        <f t="shared" si="35"/>
        <v>#REF!</v>
      </c>
      <c r="R136" s="357" t="e">
        <f t="shared" si="35"/>
        <v>#REF!</v>
      </c>
      <c r="S136" s="326" t="e">
        <f>SUM(D136:R136)</f>
        <v>#REF!</v>
      </c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</row>
    <row r="137" spans="1:33">
      <c r="A137" s="235"/>
      <c r="B137" s="320" t="s">
        <v>283</v>
      </c>
      <c r="C137" s="336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  <c r="P137" s="333"/>
      <c r="Q137" s="333"/>
      <c r="R137" s="333"/>
      <c r="S137" s="334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</row>
    <row r="138" spans="1:33">
      <c r="A138" s="235"/>
      <c r="B138" s="344" t="s">
        <v>4</v>
      </c>
      <c r="C138" s="345"/>
      <c r="D138" s="359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1"/>
      <c r="S138" s="326" t="e">
        <f>C113</f>
        <v>#REF!</v>
      </c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</row>
    <row r="139" spans="1:33">
      <c r="A139" s="235"/>
      <c r="B139" s="344" t="s">
        <v>18</v>
      </c>
      <c r="C139" s="345"/>
      <c r="D139" s="362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4"/>
      <c r="S139" s="326" t="e">
        <f>C114</f>
        <v>#REF!</v>
      </c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</row>
    <row r="140" spans="1:33" ht="14.25" customHeight="1">
      <c r="A140" s="235"/>
      <c r="B140" s="344" t="s">
        <v>264</v>
      </c>
      <c r="C140" s="346"/>
      <c r="D140" s="365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7"/>
      <c r="S140" s="326" t="e">
        <f>C115</f>
        <v>#REF!</v>
      </c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</row>
    <row r="141" spans="1:33" ht="13.5" thickBot="1">
      <c r="A141" s="235"/>
      <c r="B141" s="337" t="s">
        <v>248</v>
      </c>
      <c r="C141" s="338"/>
      <c r="D141" s="372" t="e">
        <f>D129+D134+D136</f>
        <v>#REF!</v>
      </c>
      <c r="E141" s="372" t="e">
        <f>E129+E134+E136</f>
        <v>#REF!</v>
      </c>
      <c r="F141" s="372" t="e">
        <f t="shared" ref="F141:R141" si="36">F129+F134+F136</f>
        <v>#REF!</v>
      </c>
      <c r="G141" s="372" t="e">
        <f t="shared" si="36"/>
        <v>#REF!</v>
      </c>
      <c r="H141" s="372" t="e">
        <f t="shared" si="36"/>
        <v>#REF!</v>
      </c>
      <c r="I141" s="372" t="e">
        <f t="shared" si="36"/>
        <v>#REF!</v>
      </c>
      <c r="J141" s="372" t="e">
        <f t="shared" si="36"/>
        <v>#REF!</v>
      </c>
      <c r="K141" s="372" t="e">
        <f t="shared" si="36"/>
        <v>#REF!</v>
      </c>
      <c r="L141" s="372" t="e">
        <f t="shared" si="36"/>
        <v>#REF!</v>
      </c>
      <c r="M141" s="372" t="e">
        <f t="shared" si="36"/>
        <v>#REF!</v>
      </c>
      <c r="N141" s="372" t="e">
        <f t="shared" si="36"/>
        <v>#REF!</v>
      </c>
      <c r="O141" s="372" t="e">
        <f t="shared" si="36"/>
        <v>#REF!</v>
      </c>
      <c r="P141" s="372" t="e">
        <f t="shared" si="36"/>
        <v>#REF!</v>
      </c>
      <c r="Q141" s="372" t="e">
        <f t="shared" si="36"/>
        <v>#REF!</v>
      </c>
      <c r="R141" s="372" t="e">
        <f t="shared" si="36"/>
        <v>#REF!</v>
      </c>
      <c r="S141" s="373" t="e">
        <f>SUM(S129,S134,S136,S138:S140)</f>
        <v>#REF!</v>
      </c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</row>
    <row r="142" spans="1:33" s="235" customFormat="1" ht="13.5" thickBot="1">
      <c r="B142" s="420" t="s">
        <v>326</v>
      </c>
      <c r="C142" s="421">
        <f>SUM_SEAP!E3</f>
        <v>2014</v>
      </c>
      <c r="D142" s="418">
        <f>IFERROR(D141/SUM_SEAP!D96,)</f>
        <v>0</v>
      </c>
      <c r="E142" s="418">
        <f>IFERROR(E141/SUM_SEAP!E96,)</f>
        <v>0</v>
      </c>
      <c r="F142" s="418">
        <f>IFERROR(F141/SUM_SEAP!F96,)</f>
        <v>0</v>
      </c>
      <c r="G142" s="418">
        <f>IFERROR(G141/SUM_SEAP!G96,)</f>
        <v>0</v>
      </c>
      <c r="H142" s="418">
        <f>IFERROR(H141/SUM_SEAP!H96,)</f>
        <v>0</v>
      </c>
      <c r="I142" s="418">
        <f>IFERROR(I141/SUM_SEAP!I96,)</f>
        <v>0</v>
      </c>
      <c r="J142" s="418">
        <f>IFERROR(J141/SUM_SEAP!J96,)</f>
        <v>0</v>
      </c>
      <c r="K142" s="418">
        <f>IFERROR(K141/SUM_SEAP!K96,)</f>
        <v>0</v>
      </c>
      <c r="L142" s="418">
        <f>IFERROR(L141/SUM_SEAP!L96,)</f>
        <v>0</v>
      </c>
      <c r="M142" s="418">
        <f>IFERROR(M141/SUM_SEAP!M96,)</f>
        <v>0</v>
      </c>
      <c r="N142" s="418">
        <f>IFERROR(N141/SUM_SEAP!N96,)</f>
        <v>0</v>
      </c>
      <c r="O142" s="418">
        <f>IFERROR(O141/SUM_SEAP!O96,)</f>
        <v>0</v>
      </c>
      <c r="P142" s="418">
        <f>IFERROR(P141/SUM_SEAP!P96,)</f>
        <v>0</v>
      </c>
      <c r="Q142" s="418">
        <f>IFERROR(Q141/SUM_SEAP!Q96,)</f>
        <v>0</v>
      </c>
      <c r="R142" s="418">
        <f>IFERROR(R141/SUM_SEAP!R96,)</f>
        <v>0</v>
      </c>
      <c r="S142" s="419">
        <f>IFERROR(S141/SUM_SEAP!S96,)</f>
        <v>0</v>
      </c>
    </row>
    <row r="143" spans="1:33" s="235" customFormat="1"/>
    <row r="144" spans="1:33" s="235" customFormat="1"/>
    <row r="145" spans="1:33" s="235" customFormat="1"/>
    <row r="146" spans="1:33" s="235" customFormat="1"/>
    <row r="147" spans="1:33" s="235" customFormat="1"/>
    <row r="148" spans="1:33" s="235" customFormat="1"/>
    <row r="149" spans="1:33" s="235" customFormat="1"/>
    <row r="150" spans="1:33" s="235" customFormat="1"/>
    <row r="151" spans="1:33" s="235" customFormat="1"/>
    <row r="152" spans="1:33" s="235" customFormat="1"/>
    <row r="153" spans="1:33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</row>
    <row r="154" spans="1:33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</row>
    <row r="155" spans="1:33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</row>
    <row r="156" spans="1:33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</row>
    <row r="157" spans="1:33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</row>
    <row r="158" spans="1:33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</row>
    <row r="159" spans="1:33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</row>
    <row r="160" spans="1:33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</row>
    <row r="161" spans="1:33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</row>
    <row r="162" spans="1:33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</row>
    <row r="163" spans="1:33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</row>
    <row r="164" spans="1:33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</row>
    <row r="165" spans="1:33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</row>
    <row r="166" spans="1:33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</row>
    <row r="167" spans="1:33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</row>
    <row r="168" spans="1:33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</row>
    <row r="169" spans="1:33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</row>
    <row r="170" spans="1:33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</row>
    <row r="171" spans="1:33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</row>
    <row r="172" spans="1:33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</row>
    <row r="173" spans="1:33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</row>
    <row r="174" spans="1:33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</row>
    <row r="175" spans="1:33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</row>
    <row r="176" spans="1:33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</row>
    <row r="177" spans="1:33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</row>
    <row r="178" spans="1:33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</row>
    <row r="179" spans="1:33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</row>
    <row r="180" spans="1:33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</row>
    <row r="181" spans="1:33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</row>
    <row r="182" spans="1:33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</row>
    <row r="183" spans="1:33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</row>
    <row r="184" spans="1:33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</row>
    <row r="185" spans="1:33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</row>
    <row r="186" spans="1:33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</row>
    <row r="187" spans="1:33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</row>
    <row r="188" spans="1:33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</row>
    <row r="189" spans="1:33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</row>
    <row r="190" spans="1:33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</row>
    <row r="191" spans="1:33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</row>
    <row r="192" spans="1:33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</row>
    <row r="193" spans="1:33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</row>
    <row r="194" spans="1:33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</row>
    <row r="195" spans="1:33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</row>
    <row r="196" spans="1:33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</row>
    <row r="197" spans="1:33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</row>
    <row r="198" spans="1:33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</row>
    <row r="199" spans="1:33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</row>
    <row r="200" spans="1:33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</row>
    <row r="201" spans="1:33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</row>
    <row r="202" spans="1:33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</row>
    <row r="203" spans="1:33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</row>
    <row r="204" spans="1:33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</row>
    <row r="205" spans="1:33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  <c r="AA205" s="235"/>
      <c r="AB205" s="235"/>
      <c r="AC205" s="235"/>
      <c r="AD205" s="235"/>
      <c r="AE205" s="235"/>
      <c r="AF205" s="235"/>
      <c r="AG205" s="235"/>
    </row>
    <row r="206" spans="1:33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</row>
    <row r="207" spans="1:33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</row>
    <row r="208" spans="1:33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</row>
    <row r="209" spans="1:33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</row>
    <row r="210" spans="1:33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</row>
    <row r="211" spans="1:33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</row>
    <row r="212" spans="1:33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</row>
    <row r="213" spans="1:33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</row>
    <row r="214" spans="1:33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</row>
    <row r="215" spans="1:33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</row>
    <row r="216" spans="1:33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</row>
    <row r="217" spans="1:33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</row>
    <row r="218" spans="1:33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</row>
    <row r="219" spans="1:33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</row>
    <row r="220" spans="1:33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</row>
    <row r="221" spans="1:33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</row>
    <row r="222" spans="1:33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</row>
    <row r="223" spans="1:33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</row>
    <row r="224" spans="1:33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  <c r="AA224" s="235"/>
      <c r="AB224" s="235"/>
      <c r="AC224" s="235"/>
      <c r="AD224" s="235"/>
      <c r="AE224" s="235"/>
      <c r="AF224" s="235"/>
      <c r="AG224" s="235"/>
    </row>
    <row r="225" spans="1:33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</row>
    <row r="226" spans="1:33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</row>
    <row r="227" spans="1:33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</row>
    <row r="228" spans="1:33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</row>
    <row r="229" spans="1:33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</row>
    <row r="230" spans="1:33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  <c r="AA230" s="235"/>
      <c r="AB230" s="235"/>
      <c r="AC230" s="235"/>
      <c r="AD230" s="235"/>
      <c r="AE230" s="235"/>
      <c r="AF230" s="235"/>
      <c r="AG230" s="235"/>
    </row>
    <row r="231" spans="1:33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</row>
    <row r="232" spans="1:33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</row>
    <row r="233" spans="1:33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</row>
    <row r="234" spans="1:33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</row>
    <row r="235" spans="1:33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</row>
    <row r="236" spans="1:33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</row>
    <row r="237" spans="1:33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</row>
    <row r="238" spans="1:33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</row>
    <row r="239" spans="1:33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</row>
    <row r="240" spans="1:33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</row>
    <row r="241" spans="1:33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</row>
    <row r="242" spans="1:33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</row>
    <row r="243" spans="1:33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</row>
    <row r="244" spans="1:33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</row>
    <row r="245" spans="1:33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</row>
    <row r="246" spans="1:33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</row>
    <row r="247" spans="1:33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</row>
    <row r="248" spans="1:33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</row>
    <row r="249" spans="1:33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</row>
    <row r="250" spans="1:33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</row>
    <row r="251" spans="1:33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</row>
    <row r="252" spans="1:33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  <c r="AA252" s="235"/>
      <c r="AB252" s="235"/>
      <c r="AC252" s="235"/>
      <c r="AD252" s="235"/>
      <c r="AE252" s="235"/>
      <c r="AF252" s="235"/>
      <c r="AG252" s="235"/>
    </row>
    <row r="253" spans="1:33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</row>
    <row r="254" spans="1:33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</row>
    <row r="255" spans="1:33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</row>
    <row r="256" spans="1:33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</row>
    <row r="257" spans="1:33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</row>
    <row r="258" spans="1:33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</row>
    <row r="259" spans="1:33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</row>
    <row r="260" spans="1:33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</row>
    <row r="261" spans="1:33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</row>
    <row r="262" spans="1:33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</row>
    <row r="263" spans="1:33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</row>
    <row r="264" spans="1:33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</row>
    <row r="265" spans="1:33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</row>
    <row r="266" spans="1:33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  <c r="AA266" s="235"/>
      <c r="AB266" s="235"/>
      <c r="AC266" s="235"/>
      <c r="AD266" s="235"/>
      <c r="AE266" s="235"/>
      <c r="AF266" s="235"/>
      <c r="AG266" s="235"/>
    </row>
    <row r="267" spans="1:33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  <c r="AA267" s="235"/>
      <c r="AB267" s="235"/>
      <c r="AC267" s="235"/>
      <c r="AD267" s="235"/>
      <c r="AE267" s="235"/>
      <c r="AF267" s="235"/>
      <c r="AG267" s="235"/>
    </row>
    <row r="268" spans="1:33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</row>
    <row r="269" spans="1:33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</row>
    <row r="270" spans="1:33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</row>
    <row r="271" spans="1:33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</row>
    <row r="272" spans="1:33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</row>
    <row r="273" spans="1:33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5"/>
      <c r="AF273" s="235"/>
      <c r="AG273" s="235"/>
    </row>
    <row r="274" spans="1:33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</row>
    <row r="275" spans="1:33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  <c r="AA275" s="235"/>
      <c r="AB275" s="235"/>
      <c r="AC275" s="235"/>
      <c r="AD275" s="235"/>
      <c r="AE275" s="235"/>
      <c r="AF275" s="235"/>
      <c r="AG275" s="235"/>
    </row>
    <row r="276" spans="1:33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  <c r="AA276" s="235"/>
      <c r="AB276" s="235"/>
      <c r="AC276" s="235"/>
      <c r="AD276" s="235"/>
      <c r="AE276" s="235"/>
      <c r="AF276" s="235"/>
      <c r="AG276" s="235"/>
    </row>
    <row r="277" spans="1:33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</row>
    <row r="278" spans="1:33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  <c r="AB278" s="235"/>
      <c r="AC278" s="235"/>
      <c r="AD278" s="235"/>
      <c r="AE278" s="235"/>
      <c r="AF278" s="235"/>
      <c r="AG278" s="235"/>
    </row>
    <row r="279" spans="1:33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  <c r="AB279" s="235"/>
      <c r="AC279" s="235"/>
      <c r="AD279" s="235"/>
      <c r="AE279" s="235"/>
      <c r="AF279" s="235"/>
      <c r="AG279" s="235"/>
    </row>
    <row r="280" spans="1:33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  <c r="AA280" s="235"/>
      <c r="AB280" s="235"/>
      <c r="AC280" s="235"/>
      <c r="AD280" s="235"/>
      <c r="AE280" s="235"/>
      <c r="AF280" s="235"/>
      <c r="AG280" s="235"/>
    </row>
    <row r="281" spans="1:33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  <c r="AA281" s="235"/>
      <c r="AB281" s="235"/>
      <c r="AC281" s="235"/>
      <c r="AD281" s="235"/>
      <c r="AE281" s="235"/>
      <c r="AF281" s="235"/>
      <c r="AG281" s="235"/>
    </row>
    <row r="282" spans="1:33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  <c r="AB282" s="235"/>
      <c r="AC282" s="235"/>
      <c r="AD282" s="235"/>
      <c r="AE282" s="235"/>
      <c r="AF282" s="235"/>
      <c r="AG282" s="235"/>
    </row>
    <row r="283" spans="1:33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5"/>
      <c r="AC283" s="235"/>
      <c r="AD283" s="235"/>
      <c r="AE283" s="235"/>
      <c r="AF283" s="235"/>
      <c r="AG283" s="235"/>
    </row>
  </sheetData>
  <mergeCells count="67"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  <mergeCell ref="B94:B96"/>
    <mergeCell ref="C94:D95"/>
    <mergeCell ref="E94:N94"/>
    <mergeCell ref="O94:P95"/>
    <mergeCell ref="E95:I95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AB40:AB51"/>
    <mergeCell ref="B41:B43"/>
    <mergeCell ref="B49:C49"/>
    <mergeCell ref="B52:C52"/>
    <mergeCell ref="B55:S55"/>
    <mergeCell ref="B56:C58"/>
    <mergeCell ref="D56:S56"/>
    <mergeCell ref="D57:D58"/>
    <mergeCell ref="E57:E58"/>
    <mergeCell ref="F57:M57"/>
    <mergeCell ref="N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topLeftCell="A7" zoomScale="80" zoomScaleNormal="80" workbookViewId="0">
      <selection activeCell="K14" sqref="K14"/>
    </sheetView>
  </sheetViews>
  <sheetFormatPr defaultRowHeight="12.75"/>
  <cols>
    <col min="1" max="1" width="5" style="241" customWidth="1"/>
    <col min="2" max="2" width="36.7109375" style="241" customWidth="1"/>
    <col min="3" max="3" width="19.28515625" style="241" customWidth="1"/>
    <col min="4" max="4" width="16.28515625" style="241" customWidth="1"/>
    <col min="5" max="5" width="13.42578125" style="241" customWidth="1"/>
    <col min="6" max="10" width="11.5703125" style="241" bestFit="1" customWidth="1"/>
    <col min="11" max="11" width="10" style="241" bestFit="1" customWidth="1"/>
    <col min="12" max="12" width="11.5703125" style="241" bestFit="1" customWidth="1"/>
    <col min="13" max="13" width="12" style="241" customWidth="1"/>
    <col min="14" max="14" width="11" style="241" customWidth="1"/>
    <col min="15" max="15" width="13.42578125" style="241" customWidth="1"/>
    <col min="16" max="16" width="12.5703125" style="241" customWidth="1"/>
    <col min="17" max="17" width="9.140625" style="241"/>
    <col min="18" max="18" width="12" style="241" customWidth="1"/>
    <col min="19" max="19" width="13" style="241" bestFit="1" customWidth="1"/>
    <col min="20" max="20" width="9.140625" style="241"/>
    <col min="21" max="21" width="9.140625" style="235"/>
    <col min="22" max="22" width="20" style="241" customWidth="1"/>
    <col min="23" max="16384" width="9.140625" style="241"/>
  </cols>
  <sheetData>
    <row r="1" spans="1:34" s="235" customFormat="1"/>
    <row r="2" spans="1:34" s="235" customFormat="1">
      <c r="B2" s="235" t="s">
        <v>215</v>
      </c>
      <c r="E2" s="235" t="s">
        <v>96</v>
      </c>
    </row>
    <row r="3" spans="1:34" ht="15" customHeight="1">
      <c r="A3" s="236"/>
      <c r="B3" s="237" t="s">
        <v>216</v>
      </c>
      <c r="C3" s="238"/>
      <c r="D3" s="239"/>
      <c r="E3" s="514">
        <v>2014</v>
      </c>
      <c r="F3" s="240"/>
      <c r="G3" s="240"/>
      <c r="H3" s="240"/>
      <c r="I3" s="240"/>
      <c r="J3" s="240"/>
      <c r="K3" s="240"/>
      <c r="L3" s="235"/>
      <c r="M3" s="235"/>
      <c r="N3" s="235"/>
      <c r="O3" s="235"/>
      <c r="P3" s="235"/>
      <c r="Q3" s="235"/>
      <c r="R3" s="235"/>
      <c r="S3" s="235"/>
      <c r="T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</row>
    <row r="4" spans="1:34" ht="15.75" customHeight="1">
      <c r="A4" s="236"/>
      <c r="B4" s="242" t="s">
        <v>217</v>
      </c>
      <c r="C4" s="243"/>
      <c r="D4" s="243"/>
      <c r="E4" s="371">
        <v>634487</v>
      </c>
      <c r="F4" s="244"/>
      <c r="G4" s="244"/>
      <c r="H4" s="244"/>
      <c r="I4" s="245"/>
      <c r="J4" s="246"/>
      <c r="K4" s="246"/>
      <c r="L4" s="235"/>
      <c r="M4" s="235"/>
      <c r="N4" s="235"/>
      <c r="O4" s="235"/>
      <c r="P4" s="235"/>
      <c r="Q4" s="235"/>
      <c r="R4" s="235"/>
      <c r="S4" s="235"/>
      <c r="T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</row>
    <row r="5" spans="1:34">
      <c r="A5" s="235"/>
      <c r="B5" s="237" t="s">
        <v>116</v>
      </c>
      <c r="C5" s="238"/>
      <c r="D5" s="240"/>
      <c r="E5" s="370" t="s">
        <v>218</v>
      </c>
      <c r="F5" s="240"/>
      <c r="G5" s="240"/>
      <c r="H5" s="240"/>
      <c r="I5" s="240"/>
      <c r="J5" s="247"/>
      <c r="K5" s="247"/>
      <c r="L5" s="235"/>
      <c r="M5" s="235"/>
      <c r="N5" s="235"/>
      <c r="O5" s="235"/>
      <c r="P5" s="235"/>
      <c r="Q5" s="235"/>
      <c r="R5" s="235"/>
      <c r="S5" s="235"/>
      <c r="T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</row>
    <row r="6" spans="1:34">
      <c r="A6" s="236"/>
      <c r="B6" s="239" t="s">
        <v>219</v>
      </c>
      <c r="C6" s="248"/>
      <c r="D6" s="249"/>
      <c r="E6" s="369" t="s">
        <v>220</v>
      </c>
      <c r="F6" s="239"/>
      <c r="G6" s="240"/>
      <c r="H6" s="240"/>
      <c r="I6" s="240"/>
      <c r="J6" s="247"/>
      <c r="K6" s="247"/>
      <c r="L6" s="235"/>
      <c r="M6" s="235"/>
      <c r="N6" s="235"/>
      <c r="O6" s="235"/>
      <c r="P6" s="235"/>
      <c r="Q6" s="235"/>
      <c r="R6" s="235"/>
      <c r="S6" s="235"/>
      <c r="T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</row>
    <row r="7" spans="1:34" ht="16.5" customHeight="1">
      <c r="A7" s="235"/>
      <c r="B7" s="250"/>
      <c r="C7" s="240"/>
      <c r="D7" s="251"/>
      <c r="E7" s="251"/>
      <c r="F7" s="251"/>
      <c r="G7" s="252"/>
      <c r="H7" s="253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35"/>
      <c r="T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</row>
    <row r="8" spans="1:34" ht="19.5" customHeight="1">
      <c r="A8" s="235"/>
      <c r="B8" s="254" t="s">
        <v>354</v>
      </c>
      <c r="C8" s="255"/>
      <c r="D8" s="256"/>
      <c r="E8" s="255"/>
      <c r="F8" s="256"/>
      <c r="G8" s="255"/>
      <c r="H8" s="256"/>
      <c r="I8" s="255"/>
      <c r="J8" s="256"/>
      <c r="K8" s="257"/>
      <c r="L8" s="257"/>
      <c r="M8" s="257"/>
      <c r="N8" s="257"/>
      <c r="O8" s="240"/>
      <c r="P8" s="240"/>
      <c r="Q8" s="240"/>
      <c r="R8" s="240"/>
      <c r="S8" s="235"/>
      <c r="T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</row>
    <row r="9" spans="1:34" ht="16.5" customHeight="1">
      <c r="A9" s="235"/>
      <c r="B9" s="258"/>
      <c r="C9" s="258"/>
      <c r="D9" s="259"/>
      <c r="E9" s="259"/>
      <c r="F9" s="259"/>
      <c r="G9" s="259"/>
      <c r="H9" s="240"/>
      <c r="I9" s="240"/>
      <c r="J9" s="247"/>
      <c r="K9" s="247"/>
      <c r="L9" s="240"/>
      <c r="M9" s="240"/>
      <c r="N9" s="240"/>
      <c r="O9" s="240"/>
      <c r="P9" s="240"/>
      <c r="Q9" s="240"/>
      <c r="R9" s="240"/>
      <c r="S9" s="235"/>
      <c r="T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</row>
    <row r="10" spans="1:34" ht="16.5" thickBot="1">
      <c r="A10" s="235"/>
      <c r="B10" s="260" t="s">
        <v>221</v>
      </c>
      <c r="C10" s="261"/>
      <c r="D10" s="261"/>
      <c r="E10" s="261"/>
      <c r="F10" s="261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35"/>
      <c r="T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</row>
    <row r="11" spans="1:34" ht="15" customHeight="1">
      <c r="A11" s="235"/>
      <c r="B11" s="515" t="s">
        <v>2</v>
      </c>
      <c r="C11" s="516"/>
      <c r="D11" s="519" t="s">
        <v>222</v>
      </c>
      <c r="E11" s="520"/>
      <c r="F11" s="520"/>
      <c r="G11" s="520"/>
      <c r="H11" s="520"/>
      <c r="I11" s="520"/>
      <c r="J11" s="520"/>
      <c r="K11" s="520"/>
      <c r="L11" s="520"/>
      <c r="M11" s="520"/>
      <c r="N11" s="520"/>
      <c r="O11" s="520"/>
      <c r="P11" s="520"/>
      <c r="Q11" s="520"/>
      <c r="R11" s="520"/>
      <c r="S11" s="521"/>
      <c r="T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</row>
    <row r="12" spans="1:34" ht="14.25" customHeight="1">
      <c r="A12" s="235"/>
      <c r="B12" s="517"/>
      <c r="C12" s="518"/>
      <c r="D12" s="522" t="s">
        <v>77</v>
      </c>
      <c r="E12" s="522" t="s">
        <v>223</v>
      </c>
      <c r="F12" s="522" t="s">
        <v>224</v>
      </c>
      <c r="G12" s="522"/>
      <c r="H12" s="522"/>
      <c r="I12" s="522"/>
      <c r="J12" s="522"/>
      <c r="K12" s="522"/>
      <c r="L12" s="522"/>
      <c r="M12" s="522"/>
      <c r="N12" s="522" t="s">
        <v>225</v>
      </c>
      <c r="O12" s="522"/>
      <c r="P12" s="522"/>
      <c r="Q12" s="522"/>
      <c r="R12" s="522"/>
      <c r="S12" s="534" t="s">
        <v>226</v>
      </c>
      <c r="T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</row>
    <row r="13" spans="1:34" ht="26.25" thickBot="1">
      <c r="A13" s="235"/>
      <c r="B13" s="517"/>
      <c r="C13" s="518"/>
      <c r="D13" s="523"/>
      <c r="E13" s="523"/>
      <c r="F13" s="263" t="s">
        <v>80</v>
      </c>
      <c r="G13" s="263" t="s">
        <v>227</v>
      </c>
      <c r="H13" s="263" t="s">
        <v>82</v>
      </c>
      <c r="I13" s="263" t="s">
        <v>84</v>
      </c>
      <c r="J13" s="263" t="s">
        <v>85</v>
      </c>
      <c r="K13" s="263" t="s">
        <v>228</v>
      </c>
      <c r="L13" s="263" t="s">
        <v>86</v>
      </c>
      <c r="M13" s="263" t="s">
        <v>229</v>
      </c>
      <c r="N13" s="263" t="s">
        <v>230</v>
      </c>
      <c r="O13" s="263" t="s">
        <v>231</v>
      </c>
      <c r="P13" s="263" t="s">
        <v>232</v>
      </c>
      <c r="Q13" s="263" t="s">
        <v>233</v>
      </c>
      <c r="R13" s="263" t="s">
        <v>234</v>
      </c>
      <c r="S13" s="535"/>
      <c r="T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</row>
    <row r="14" spans="1:34" ht="15" customHeight="1">
      <c r="A14" s="235"/>
      <c r="B14" s="264" t="s">
        <v>235</v>
      </c>
      <c r="C14" s="265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7"/>
      <c r="T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</row>
    <row r="15" spans="1:34" ht="14.25" customHeight="1">
      <c r="A15" s="235"/>
      <c r="B15" s="268" t="s">
        <v>236</v>
      </c>
      <c r="C15" s="269"/>
      <c r="D15" s="270">
        <v>46660</v>
      </c>
      <c r="E15" s="270">
        <v>141733</v>
      </c>
      <c r="F15" s="270">
        <v>87051</v>
      </c>
      <c r="G15" s="270">
        <v>61.849940000000004</v>
      </c>
      <c r="H15" s="270">
        <v>2314.4708743888891</v>
      </c>
      <c r="I15" s="270">
        <v>0</v>
      </c>
      <c r="J15" s="270">
        <v>0</v>
      </c>
      <c r="K15" s="270">
        <v>0</v>
      </c>
      <c r="L15" s="270">
        <v>0</v>
      </c>
      <c r="M15" s="270">
        <v>500.51383333333325</v>
      </c>
      <c r="N15" s="270">
        <v>0</v>
      </c>
      <c r="O15" s="270">
        <v>11655.855</v>
      </c>
      <c r="P15" s="270">
        <v>0</v>
      </c>
      <c r="Q15" s="270">
        <v>0</v>
      </c>
      <c r="R15" s="270">
        <v>0</v>
      </c>
      <c r="S15" s="271">
        <v>289976.68964772217</v>
      </c>
      <c r="T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</row>
    <row r="16" spans="1:34" ht="14.25" customHeight="1">
      <c r="A16" s="235"/>
      <c r="B16" s="272" t="s">
        <v>237</v>
      </c>
      <c r="C16" s="273"/>
      <c r="D16" s="270">
        <v>858468</v>
      </c>
      <c r="E16" s="270">
        <v>426288</v>
      </c>
      <c r="F16" s="270">
        <v>203269.86516666663</v>
      </c>
      <c r="G16" s="270">
        <v>1750.659765666667</v>
      </c>
      <c r="H16" s="270">
        <v>26151.926163722219</v>
      </c>
      <c r="I16" s="270">
        <v>0</v>
      </c>
      <c r="J16" s="270">
        <v>0</v>
      </c>
      <c r="K16" s="270">
        <v>0</v>
      </c>
      <c r="L16" s="270">
        <v>0</v>
      </c>
      <c r="M16" s="270">
        <v>31531.304541666668</v>
      </c>
      <c r="N16" s="270">
        <v>0</v>
      </c>
      <c r="O16" s="270">
        <v>0</v>
      </c>
      <c r="P16" s="270">
        <v>0</v>
      </c>
      <c r="Q16" s="270">
        <v>0</v>
      </c>
      <c r="R16" s="270">
        <v>0</v>
      </c>
      <c r="S16" s="271">
        <v>1547459.7556377223</v>
      </c>
      <c r="T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</row>
    <row r="17" spans="1:34" ht="15" customHeight="1">
      <c r="A17" s="235"/>
      <c r="B17" s="272" t="s">
        <v>0</v>
      </c>
      <c r="C17" s="273"/>
      <c r="D17" s="270">
        <v>546111</v>
      </c>
      <c r="E17" s="270">
        <v>1201882</v>
      </c>
      <c r="F17" s="270">
        <v>1001353</v>
      </c>
      <c r="G17" s="270">
        <v>22406.673083333335</v>
      </c>
      <c r="H17" s="270">
        <v>2909</v>
      </c>
      <c r="I17" s="270">
        <v>0</v>
      </c>
      <c r="J17" s="270">
        <v>0</v>
      </c>
      <c r="K17" s="270">
        <v>0</v>
      </c>
      <c r="L17" s="270">
        <v>602687</v>
      </c>
      <c r="M17" s="270">
        <v>0</v>
      </c>
      <c r="N17" s="270">
        <v>0</v>
      </c>
      <c r="O17" s="270">
        <v>0</v>
      </c>
      <c r="P17" s="270">
        <v>328214.0416771936</v>
      </c>
      <c r="Q17" s="270">
        <v>6346.6200000000017</v>
      </c>
      <c r="R17" s="270">
        <v>0</v>
      </c>
      <c r="S17" s="271">
        <v>3711909.3347605271</v>
      </c>
      <c r="T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</row>
    <row r="18" spans="1:34" ht="15" customHeight="1">
      <c r="A18" s="235"/>
      <c r="B18" s="272" t="s">
        <v>42</v>
      </c>
      <c r="C18" s="273"/>
      <c r="D18" s="270">
        <v>35642</v>
      </c>
      <c r="E18" s="270">
        <v>0</v>
      </c>
      <c r="F18" s="270">
        <v>502</v>
      </c>
      <c r="G18" s="270">
        <v>0</v>
      </c>
      <c r="H18" s="270">
        <v>0</v>
      </c>
      <c r="I18" s="270">
        <v>0</v>
      </c>
      <c r="J18" s="270">
        <v>0</v>
      </c>
      <c r="K18" s="270">
        <v>0</v>
      </c>
      <c r="L18" s="270">
        <v>0</v>
      </c>
      <c r="M18" s="270">
        <v>0</v>
      </c>
      <c r="N18" s="270">
        <v>0</v>
      </c>
      <c r="O18" s="270">
        <v>0</v>
      </c>
      <c r="P18" s="270">
        <v>0</v>
      </c>
      <c r="Q18" s="270">
        <v>0</v>
      </c>
      <c r="R18" s="270">
        <v>0</v>
      </c>
      <c r="S18" s="271">
        <v>36144</v>
      </c>
      <c r="T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</row>
    <row r="19" spans="1:34" ht="15" customHeight="1">
      <c r="A19" s="235"/>
      <c r="B19" s="525" t="s">
        <v>11</v>
      </c>
      <c r="C19" s="353" t="s">
        <v>238</v>
      </c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</row>
    <row r="20" spans="1:34" ht="18.75" customHeight="1">
      <c r="A20" s="235"/>
      <c r="B20" s="526"/>
      <c r="C20" s="354" t="s">
        <v>239</v>
      </c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</row>
    <row r="21" spans="1:34" ht="18.75" customHeight="1">
      <c r="A21" s="235"/>
      <c r="B21" s="527"/>
      <c r="C21" s="275" t="s">
        <v>226</v>
      </c>
      <c r="D21" s="276">
        <v>548202</v>
      </c>
      <c r="E21" s="276">
        <v>98205.555555555547</v>
      </c>
      <c r="F21" s="276">
        <v>432590</v>
      </c>
      <c r="G21" s="276">
        <v>1</v>
      </c>
      <c r="H21" s="276">
        <v>3465</v>
      </c>
      <c r="I21" s="276">
        <v>0</v>
      </c>
      <c r="J21" s="276">
        <v>0</v>
      </c>
      <c r="K21" s="276">
        <v>0</v>
      </c>
      <c r="L21" s="276">
        <v>0</v>
      </c>
      <c r="M21" s="276">
        <v>65622</v>
      </c>
      <c r="N21" s="276">
        <v>0</v>
      </c>
      <c r="O21" s="276">
        <v>0</v>
      </c>
      <c r="P21" s="276">
        <v>0</v>
      </c>
      <c r="Q21" s="276">
        <v>0</v>
      </c>
      <c r="R21" s="276">
        <v>0</v>
      </c>
      <c r="S21" s="277">
        <v>1148085.5555555555</v>
      </c>
      <c r="T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</row>
    <row r="22" spans="1:34" ht="15" customHeight="1" thickBot="1">
      <c r="A22" s="235"/>
      <c r="B22" s="278" t="s">
        <v>240</v>
      </c>
      <c r="C22" s="279"/>
      <c r="D22" s="280">
        <v>2035083</v>
      </c>
      <c r="E22" s="280">
        <v>1868108.5555555555</v>
      </c>
      <c r="F22" s="280">
        <v>1724765.8651666667</v>
      </c>
      <c r="G22" s="280">
        <v>24220.182789000002</v>
      </c>
      <c r="H22" s="280">
        <v>34840.397038111107</v>
      </c>
      <c r="I22" s="280">
        <v>0</v>
      </c>
      <c r="J22" s="280">
        <v>0</v>
      </c>
      <c r="K22" s="280">
        <v>0</v>
      </c>
      <c r="L22" s="280">
        <v>602687</v>
      </c>
      <c r="M22" s="280">
        <v>97653.818375000003</v>
      </c>
      <c r="N22" s="280">
        <v>0</v>
      </c>
      <c r="O22" s="280">
        <v>11655.855</v>
      </c>
      <c r="P22" s="280">
        <v>328214.0416771936</v>
      </c>
      <c r="Q22" s="280">
        <v>6346.6200000000017</v>
      </c>
      <c r="R22" s="280">
        <v>0</v>
      </c>
      <c r="S22" s="281">
        <v>6733575.3356015272</v>
      </c>
      <c r="T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</row>
    <row r="23" spans="1:34" ht="15" customHeight="1">
      <c r="A23" s="235"/>
      <c r="B23" s="282" t="s">
        <v>241</v>
      </c>
      <c r="C23" s="283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5"/>
      <c r="T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</row>
    <row r="24" spans="1:34" ht="15" customHeight="1">
      <c r="A24" s="235"/>
      <c r="B24" s="272" t="s">
        <v>242</v>
      </c>
      <c r="C24" s="286"/>
      <c r="D24" s="270">
        <v>0</v>
      </c>
      <c r="E24" s="270">
        <v>0</v>
      </c>
      <c r="F24" s="270">
        <v>0</v>
      </c>
      <c r="G24" s="270">
        <v>0</v>
      </c>
      <c r="H24" s="270">
        <v>0</v>
      </c>
      <c r="I24" s="270">
        <v>9.740222916666666E-3</v>
      </c>
      <c r="J24" s="270">
        <v>17.611999999999998</v>
      </c>
      <c r="K24" s="270">
        <v>0</v>
      </c>
      <c r="L24" s="270">
        <v>0</v>
      </c>
      <c r="M24" s="270">
        <v>0</v>
      </c>
      <c r="N24" s="270">
        <v>0</v>
      </c>
      <c r="O24" s="270">
        <v>0</v>
      </c>
      <c r="P24" s="270">
        <v>0</v>
      </c>
      <c r="Q24" s="270">
        <v>0</v>
      </c>
      <c r="R24" s="270">
        <v>0</v>
      </c>
      <c r="S24" s="274">
        <v>17.621740222916664</v>
      </c>
      <c r="T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</row>
    <row r="25" spans="1:34" ht="15" customHeight="1">
      <c r="A25" s="235"/>
      <c r="B25" s="272" t="s">
        <v>243</v>
      </c>
      <c r="C25" s="286"/>
      <c r="D25" s="270">
        <v>62158</v>
      </c>
      <c r="E25" s="270">
        <v>0</v>
      </c>
      <c r="F25" s="270">
        <v>0</v>
      </c>
      <c r="G25" s="270">
        <v>0</v>
      </c>
      <c r="H25" s="270">
        <v>0</v>
      </c>
      <c r="I25" s="270">
        <v>113011</v>
      </c>
      <c r="J25" s="270">
        <v>0</v>
      </c>
      <c r="K25" s="270">
        <v>0</v>
      </c>
      <c r="L25" s="270">
        <v>0</v>
      </c>
      <c r="M25" s="270">
        <v>0</v>
      </c>
      <c r="N25" s="270">
        <v>0</v>
      </c>
      <c r="O25" s="270">
        <v>0</v>
      </c>
      <c r="P25" s="270">
        <v>0</v>
      </c>
      <c r="Q25" s="270">
        <v>0</v>
      </c>
      <c r="R25" s="270">
        <v>0</v>
      </c>
      <c r="S25" s="274">
        <v>175169</v>
      </c>
      <c r="T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</row>
    <row r="26" spans="1:34" ht="15" customHeight="1">
      <c r="A26" s="235"/>
      <c r="B26" s="272" t="s">
        <v>244</v>
      </c>
      <c r="C26" s="286"/>
      <c r="D26" s="270">
        <v>17399</v>
      </c>
      <c r="E26" s="270">
        <v>0</v>
      </c>
      <c r="F26" s="270">
        <v>2531</v>
      </c>
      <c r="G26" s="270">
        <v>224567</v>
      </c>
      <c r="H26" s="270">
        <v>0</v>
      </c>
      <c r="I26" s="270">
        <v>1881964</v>
      </c>
      <c r="J26" s="270">
        <v>1623932</v>
      </c>
      <c r="K26" s="270">
        <v>0</v>
      </c>
      <c r="L26" s="270">
        <v>0</v>
      </c>
      <c r="M26" s="270">
        <v>0</v>
      </c>
      <c r="N26" s="270">
        <v>8.1319137777777772</v>
      </c>
      <c r="O26" s="270">
        <v>15.869520000000001</v>
      </c>
      <c r="P26" s="270">
        <v>0</v>
      </c>
      <c r="Q26" s="270">
        <v>0</v>
      </c>
      <c r="R26" s="270">
        <v>0</v>
      </c>
      <c r="S26" s="274">
        <v>3750417.0014337781</v>
      </c>
      <c r="T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</row>
    <row r="27" spans="1:34" ht="15" customHeight="1" thickBot="1">
      <c r="A27" s="235"/>
      <c r="B27" s="528" t="s">
        <v>245</v>
      </c>
      <c r="C27" s="529"/>
      <c r="D27" s="280">
        <v>79557</v>
      </c>
      <c r="E27" s="280">
        <v>0</v>
      </c>
      <c r="F27" s="280">
        <v>2531</v>
      </c>
      <c r="G27" s="280">
        <v>224567</v>
      </c>
      <c r="H27" s="280">
        <v>0</v>
      </c>
      <c r="I27" s="280">
        <v>1994975.0097402229</v>
      </c>
      <c r="J27" s="280">
        <v>1623949.612</v>
      </c>
      <c r="K27" s="280">
        <v>0</v>
      </c>
      <c r="L27" s="280">
        <v>0</v>
      </c>
      <c r="M27" s="280">
        <v>0</v>
      </c>
      <c r="N27" s="280">
        <v>8.1319137777777772</v>
      </c>
      <c r="O27" s="280">
        <v>15.869520000000001</v>
      </c>
      <c r="P27" s="280">
        <v>0</v>
      </c>
      <c r="Q27" s="280">
        <v>0</v>
      </c>
      <c r="R27" s="280">
        <v>0</v>
      </c>
      <c r="S27" s="281">
        <v>3925603.623174001</v>
      </c>
      <c r="T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</row>
    <row r="28" spans="1:34">
      <c r="A28" s="235"/>
      <c r="B28" s="287" t="s">
        <v>246</v>
      </c>
      <c r="C28" s="283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8"/>
      <c r="T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</row>
    <row r="29" spans="1:34" ht="15" customHeight="1">
      <c r="A29" s="235"/>
      <c r="B29" s="272" t="s">
        <v>247</v>
      </c>
      <c r="C29" s="286"/>
      <c r="D29" s="289">
        <v>0</v>
      </c>
      <c r="E29" s="289">
        <v>0</v>
      </c>
      <c r="F29" s="289">
        <v>4022.3633333333328</v>
      </c>
      <c r="G29" s="289">
        <v>0</v>
      </c>
      <c r="H29" s="289">
        <v>0</v>
      </c>
      <c r="I29" s="289">
        <v>10897</v>
      </c>
      <c r="J29" s="289">
        <v>0</v>
      </c>
      <c r="K29" s="289">
        <v>0</v>
      </c>
      <c r="L29" s="289">
        <v>0</v>
      </c>
      <c r="M29" s="289">
        <v>0</v>
      </c>
      <c r="N29" s="270">
        <v>0</v>
      </c>
      <c r="O29" s="270">
        <v>0</v>
      </c>
      <c r="P29" s="270">
        <v>0</v>
      </c>
      <c r="Q29" s="270">
        <v>0</v>
      </c>
      <c r="R29" s="270">
        <v>0</v>
      </c>
      <c r="S29" s="274">
        <v>14919.363333333333</v>
      </c>
      <c r="T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</row>
    <row r="30" spans="1:34" ht="15.75" customHeight="1" thickBot="1">
      <c r="A30" s="235"/>
      <c r="B30" s="530" t="s">
        <v>248</v>
      </c>
      <c r="C30" s="531"/>
      <c r="D30" s="290">
        <v>2114640</v>
      </c>
      <c r="E30" s="290">
        <v>1868108.5555555555</v>
      </c>
      <c r="F30" s="290">
        <v>1731319.2285</v>
      </c>
      <c r="G30" s="290">
        <v>248787.18278900001</v>
      </c>
      <c r="H30" s="290">
        <v>34840.397038111107</v>
      </c>
      <c r="I30" s="290">
        <v>2005872.0097402229</v>
      </c>
      <c r="J30" s="290">
        <v>1623949.612</v>
      </c>
      <c r="K30" s="290">
        <v>0</v>
      </c>
      <c r="L30" s="290">
        <v>602687</v>
      </c>
      <c r="M30" s="290">
        <v>97653.818375000003</v>
      </c>
      <c r="N30" s="290">
        <v>8.1319137777777772</v>
      </c>
      <c r="O30" s="290">
        <v>11671.72452</v>
      </c>
      <c r="P30" s="290">
        <v>328214.0416771936</v>
      </c>
      <c r="Q30" s="290">
        <v>6346.6200000000017</v>
      </c>
      <c r="R30" s="290">
        <v>0</v>
      </c>
      <c r="S30" s="290">
        <v>10674098.322108861</v>
      </c>
      <c r="T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</row>
    <row r="31" spans="1:34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474" t="s">
        <v>339</v>
      </c>
      <c r="S31" s="475">
        <v>3.2437448828236508E-2</v>
      </c>
      <c r="T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</row>
    <row r="32" spans="1:34" ht="16.5" hidden="1" thickBot="1">
      <c r="A32" s="235"/>
      <c r="B32" s="291" t="s">
        <v>249</v>
      </c>
      <c r="C32" s="292"/>
      <c r="D32" s="292"/>
      <c r="E32" s="238"/>
      <c r="F32" s="238"/>
      <c r="G32" s="238"/>
      <c r="H32" s="238"/>
      <c r="I32" s="238"/>
      <c r="J32" s="238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</row>
    <row r="33" spans="1:34" ht="55.5" hidden="1" customHeight="1">
      <c r="A33" s="235"/>
      <c r="B33" s="293" t="s">
        <v>250</v>
      </c>
      <c r="C33" s="294" t="s">
        <v>251</v>
      </c>
      <c r="D33" s="294" t="s">
        <v>252</v>
      </c>
      <c r="E33" s="295" t="s">
        <v>253</v>
      </c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V33" s="235"/>
      <c r="W33" s="235"/>
      <c r="X33" s="235"/>
      <c r="Y33" s="235"/>
      <c r="Z33" s="235"/>
      <c r="AA33" s="235"/>
      <c r="AB33" s="235"/>
      <c r="AC33" s="235"/>
    </row>
    <row r="34" spans="1:34" hidden="1">
      <c r="A34" s="235"/>
      <c r="B34" s="296" t="s">
        <v>254</v>
      </c>
      <c r="C34" s="297"/>
      <c r="D34" s="298"/>
      <c r="E34" s="299">
        <f>C34*D34</f>
        <v>0</v>
      </c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V34" s="235"/>
      <c r="W34" s="235"/>
      <c r="X34" s="235"/>
      <c r="Y34" s="235"/>
      <c r="Z34" s="235"/>
      <c r="AA34" s="235"/>
      <c r="AB34" s="235"/>
      <c r="AC34" s="235"/>
    </row>
    <row r="35" spans="1:34" ht="15" hidden="1" customHeight="1">
      <c r="A35" s="235"/>
      <c r="B35" s="296" t="s">
        <v>255</v>
      </c>
      <c r="C35" s="297"/>
      <c r="D35" s="298"/>
      <c r="E35" s="299">
        <f>C35*D35</f>
        <v>0</v>
      </c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V35" s="235"/>
      <c r="W35" s="235"/>
      <c r="X35" s="235"/>
      <c r="Y35" s="235"/>
      <c r="Z35" s="235"/>
      <c r="AA35" s="235"/>
      <c r="AB35" s="235"/>
      <c r="AC35" s="235"/>
    </row>
    <row r="36" spans="1:34" ht="15" hidden="1" customHeight="1">
      <c r="A36" s="235"/>
      <c r="B36" s="296" t="s">
        <v>256</v>
      </c>
      <c r="C36" s="297"/>
      <c r="D36" s="298"/>
      <c r="E36" s="299">
        <f>C36*D36</f>
        <v>0</v>
      </c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V36" s="235"/>
      <c r="W36" s="235"/>
      <c r="X36" s="235"/>
      <c r="Y36" s="235"/>
      <c r="Z36" s="235"/>
      <c r="AA36" s="235"/>
      <c r="AB36" s="235"/>
      <c r="AC36" s="235"/>
    </row>
    <row r="37" spans="1:34" ht="15" hidden="1" customHeight="1">
      <c r="A37" s="235"/>
      <c r="B37" s="296" t="s">
        <v>257</v>
      </c>
      <c r="C37" s="297"/>
      <c r="D37" s="298"/>
      <c r="E37" s="299">
        <f>C37*D37</f>
        <v>0</v>
      </c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V37" s="235"/>
      <c r="W37" s="235"/>
      <c r="X37" s="235"/>
      <c r="Y37" s="235"/>
      <c r="Z37" s="235"/>
      <c r="AA37" s="235"/>
      <c r="AB37" s="235"/>
      <c r="AC37" s="235"/>
    </row>
    <row r="38" spans="1:34" ht="13.5" hidden="1" thickBot="1">
      <c r="A38" s="235"/>
      <c r="B38" s="300" t="s">
        <v>248</v>
      </c>
      <c r="C38" s="301">
        <f>SUM(C34:C37)</f>
        <v>0</v>
      </c>
      <c r="D38" s="302"/>
      <c r="E38" s="303">
        <f>SUM(E34:E37)</f>
        <v>0</v>
      </c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V38" s="235"/>
      <c r="W38" s="235"/>
      <c r="X38" s="235"/>
      <c r="Y38" s="235"/>
      <c r="Z38" s="235"/>
      <c r="AA38" s="235"/>
      <c r="AB38" s="235"/>
      <c r="AC38" s="235"/>
    </row>
    <row r="39" spans="1:34" hidden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</row>
    <row r="40" spans="1:34" ht="16.5" hidden="1" thickBot="1">
      <c r="A40" s="235"/>
      <c r="B40" s="291" t="s">
        <v>258</v>
      </c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</row>
    <row r="41" spans="1:34" ht="14.25" hidden="1" customHeight="1">
      <c r="A41" s="235"/>
      <c r="B41" s="547" t="s">
        <v>259</v>
      </c>
      <c r="C41" s="554" t="s">
        <v>260</v>
      </c>
      <c r="D41" s="555"/>
      <c r="E41" s="558" t="s">
        <v>261</v>
      </c>
      <c r="F41" s="542"/>
      <c r="G41" s="542"/>
      <c r="H41" s="542"/>
      <c r="I41" s="542"/>
      <c r="J41" s="542"/>
      <c r="K41" s="542"/>
      <c r="L41" s="542"/>
      <c r="M41" s="542"/>
      <c r="N41" s="559"/>
      <c r="O41" s="554" t="s">
        <v>253</v>
      </c>
      <c r="P41" s="555"/>
      <c r="S41" s="235"/>
      <c r="T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</row>
    <row r="42" spans="1:34" ht="14.25" hidden="1" customHeight="1">
      <c r="A42" s="235"/>
      <c r="B42" s="548"/>
      <c r="C42" s="556"/>
      <c r="D42" s="557"/>
      <c r="E42" s="560" t="s">
        <v>224</v>
      </c>
      <c r="F42" s="561"/>
      <c r="G42" s="561"/>
      <c r="H42" s="561"/>
      <c r="I42" s="562"/>
      <c r="J42" s="549" t="s">
        <v>262</v>
      </c>
      <c r="K42" s="549" t="s">
        <v>230</v>
      </c>
      <c r="L42" s="549" t="s">
        <v>232</v>
      </c>
      <c r="M42" s="549" t="s">
        <v>263</v>
      </c>
      <c r="N42" s="549" t="s">
        <v>264</v>
      </c>
      <c r="O42" s="556"/>
      <c r="P42" s="557"/>
      <c r="Q42" s="235"/>
      <c r="R42" s="235"/>
      <c r="S42" s="235"/>
      <c r="T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</row>
    <row r="43" spans="1:34" ht="38.25" hidden="1" customHeight="1">
      <c r="A43" s="235"/>
      <c r="B43" s="548"/>
      <c r="C43" s="305" t="s">
        <v>226</v>
      </c>
      <c r="D43" s="305" t="s">
        <v>265</v>
      </c>
      <c r="E43" s="305" t="s">
        <v>80</v>
      </c>
      <c r="F43" s="305" t="s">
        <v>227</v>
      </c>
      <c r="G43" s="305" t="s">
        <v>82</v>
      </c>
      <c r="H43" s="305" t="s">
        <v>228</v>
      </c>
      <c r="I43" s="305" t="s">
        <v>86</v>
      </c>
      <c r="J43" s="550"/>
      <c r="K43" s="550"/>
      <c r="L43" s="550"/>
      <c r="M43" s="550"/>
      <c r="N43" s="550"/>
      <c r="O43" s="305" t="s">
        <v>266</v>
      </c>
      <c r="P43" s="305" t="s">
        <v>267</v>
      </c>
      <c r="Q43" s="235"/>
      <c r="R43" s="235"/>
      <c r="S43" s="235"/>
      <c r="T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</row>
    <row r="44" spans="1:34" hidden="1">
      <c r="A44" s="235"/>
      <c r="B44" s="306" t="s">
        <v>268</v>
      </c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235"/>
      <c r="R44" s="235"/>
      <c r="S44" s="235"/>
      <c r="T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</row>
    <row r="45" spans="1:34" hidden="1">
      <c r="A45" s="235"/>
      <c r="B45" s="306" t="s">
        <v>264</v>
      </c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235"/>
      <c r="R45" s="235"/>
      <c r="S45" s="235"/>
      <c r="T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</row>
    <row r="46" spans="1:34" ht="13.5" hidden="1" thickBot="1">
      <c r="A46" s="235"/>
      <c r="B46" s="300" t="s">
        <v>226</v>
      </c>
      <c r="C46" s="301">
        <f>SUM(C44:C45)</f>
        <v>0</v>
      </c>
      <c r="D46" s="301">
        <f t="shared" ref="D46:P46" si="0">SUM(D44:D45)</f>
        <v>0</v>
      </c>
      <c r="E46" s="301">
        <f t="shared" si="0"/>
        <v>0</v>
      </c>
      <c r="F46" s="301">
        <f t="shared" si="0"/>
        <v>0</v>
      </c>
      <c r="G46" s="301">
        <f t="shared" si="0"/>
        <v>0</v>
      </c>
      <c r="H46" s="301">
        <f t="shared" si="0"/>
        <v>0</v>
      </c>
      <c r="I46" s="301">
        <f t="shared" si="0"/>
        <v>0</v>
      </c>
      <c r="J46" s="301">
        <f t="shared" si="0"/>
        <v>0</v>
      </c>
      <c r="K46" s="301">
        <f t="shared" si="0"/>
        <v>0</v>
      </c>
      <c r="L46" s="301">
        <f t="shared" si="0"/>
        <v>0</v>
      </c>
      <c r="M46" s="301">
        <f t="shared" si="0"/>
        <v>0</v>
      </c>
      <c r="N46" s="301">
        <f t="shared" si="0"/>
        <v>0</v>
      </c>
      <c r="O46" s="301">
        <f t="shared" si="0"/>
        <v>0</v>
      </c>
      <c r="P46" s="301">
        <f t="shared" si="0"/>
        <v>0</v>
      </c>
      <c r="Q46" s="235"/>
      <c r="R46" s="235"/>
      <c r="S46" s="235"/>
      <c r="T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</row>
    <row r="47" spans="1:34" hidden="1">
      <c r="A47" s="235"/>
      <c r="B47" s="240"/>
      <c r="C47" s="240"/>
      <c r="D47" s="30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5"/>
      <c r="T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</row>
    <row r="48" spans="1:34" ht="16.5" hidden="1" thickBot="1">
      <c r="A48" s="235"/>
      <c r="B48" s="291" t="s">
        <v>269</v>
      </c>
      <c r="C48" s="240"/>
      <c r="D48" s="30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5"/>
      <c r="T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</row>
    <row r="49" spans="1:34" ht="14.25" hidden="1" customHeight="1">
      <c r="A49" s="235"/>
      <c r="B49" s="551" t="s">
        <v>270</v>
      </c>
      <c r="C49" s="554" t="s">
        <v>271</v>
      </c>
      <c r="D49" s="555"/>
      <c r="E49" s="558" t="s">
        <v>261</v>
      </c>
      <c r="F49" s="542"/>
      <c r="G49" s="542"/>
      <c r="H49" s="542"/>
      <c r="I49" s="542"/>
      <c r="J49" s="542"/>
      <c r="K49" s="542"/>
      <c r="L49" s="542"/>
      <c r="M49" s="542"/>
      <c r="N49" s="559"/>
      <c r="O49" s="554" t="s">
        <v>253</v>
      </c>
      <c r="P49" s="555"/>
      <c r="Q49" s="235"/>
      <c r="R49" s="235"/>
      <c r="S49" s="235"/>
      <c r="T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</row>
    <row r="50" spans="1:34" ht="14.25" hidden="1" customHeight="1">
      <c r="A50" s="235"/>
      <c r="B50" s="552"/>
      <c r="C50" s="556"/>
      <c r="D50" s="557"/>
      <c r="E50" s="560" t="s">
        <v>224</v>
      </c>
      <c r="F50" s="561"/>
      <c r="G50" s="561"/>
      <c r="H50" s="561"/>
      <c r="I50" s="562"/>
      <c r="J50" s="549" t="s">
        <v>262</v>
      </c>
      <c r="K50" s="549" t="s">
        <v>230</v>
      </c>
      <c r="L50" s="549" t="s">
        <v>232</v>
      </c>
      <c r="M50" s="549" t="s">
        <v>263</v>
      </c>
      <c r="N50" s="549" t="s">
        <v>264</v>
      </c>
      <c r="O50" s="556"/>
      <c r="P50" s="557"/>
      <c r="Q50" s="235"/>
      <c r="R50" s="235"/>
      <c r="S50" s="235"/>
      <c r="T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</row>
    <row r="51" spans="1:34" ht="35.25" hidden="1" customHeight="1">
      <c r="A51" s="235"/>
      <c r="B51" s="553"/>
      <c r="C51" s="305" t="s">
        <v>226</v>
      </c>
      <c r="D51" s="305" t="s">
        <v>265</v>
      </c>
      <c r="E51" s="305" t="s">
        <v>80</v>
      </c>
      <c r="F51" s="305" t="s">
        <v>227</v>
      </c>
      <c r="G51" s="305" t="s">
        <v>82</v>
      </c>
      <c r="H51" s="305" t="s">
        <v>228</v>
      </c>
      <c r="I51" s="305" t="s">
        <v>86</v>
      </c>
      <c r="J51" s="550"/>
      <c r="K51" s="550"/>
      <c r="L51" s="550"/>
      <c r="M51" s="550"/>
      <c r="N51" s="550"/>
      <c r="O51" s="305" t="s">
        <v>266</v>
      </c>
      <c r="P51" s="305" t="s">
        <v>267</v>
      </c>
      <c r="Q51" s="235"/>
      <c r="R51" s="235"/>
      <c r="S51" s="235"/>
      <c r="T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</row>
    <row r="52" spans="1:34" hidden="1">
      <c r="B52" s="306" t="s">
        <v>268</v>
      </c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9"/>
      <c r="Q52" s="235"/>
      <c r="R52" s="235"/>
      <c r="S52" s="235"/>
      <c r="T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</row>
    <row r="53" spans="1:34" hidden="1">
      <c r="A53" s="235"/>
      <c r="B53" s="306" t="s">
        <v>272</v>
      </c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9"/>
      <c r="Q53" s="235"/>
      <c r="R53" s="235"/>
      <c r="S53" s="235"/>
      <c r="T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</row>
    <row r="54" spans="1:34" hidden="1">
      <c r="A54" s="235"/>
      <c r="B54" s="306" t="s">
        <v>264</v>
      </c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9"/>
      <c r="Q54" s="235"/>
      <c r="R54" s="235"/>
      <c r="S54" s="235"/>
      <c r="T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</row>
    <row r="55" spans="1:34" ht="13.5" hidden="1" thickBot="1">
      <c r="A55" s="235"/>
      <c r="B55" s="300" t="s">
        <v>226</v>
      </c>
      <c r="C55" s="301">
        <v>0</v>
      </c>
      <c r="D55" s="301">
        <v>0</v>
      </c>
      <c r="E55" s="301">
        <v>0</v>
      </c>
      <c r="F55" s="301">
        <v>0</v>
      </c>
      <c r="G55" s="301">
        <v>0</v>
      </c>
      <c r="H55" s="301">
        <v>0</v>
      </c>
      <c r="I55" s="301">
        <v>0</v>
      </c>
      <c r="J55" s="301">
        <v>0</v>
      </c>
      <c r="K55" s="301">
        <v>0</v>
      </c>
      <c r="L55" s="301">
        <v>0</v>
      </c>
      <c r="M55" s="301">
        <v>0</v>
      </c>
      <c r="N55" s="301">
        <v>0</v>
      </c>
      <c r="O55" s="301">
        <v>0</v>
      </c>
      <c r="P55" s="301">
        <v>0</v>
      </c>
      <c r="Q55" s="235"/>
      <c r="R55" s="235"/>
      <c r="S55" s="235"/>
      <c r="T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</row>
    <row r="56" spans="1:34" hidden="1">
      <c r="A56" s="235"/>
      <c r="B56" s="240"/>
      <c r="C56" s="240"/>
      <c r="D56" s="30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5"/>
      <c r="T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</row>
    <row r="57" spans="1:34" ht="16.5" thickBot="1">
      <c r="A57" s="235"/>
      <c r="B57" s="291" t="s">
        <v>116</v>
      </c>
      <c r="C57" s="310"/>
      <c r="D57" s="310"/>
      <c r="E57" s="310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5"/>
      <c r="T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</row>
    <row r="58" spans="1:34" ht="15" customHeight="1">
      <c r="A58" s="235"/>
      <c r="B58" s="547" t="s">
        <v>284</v>
      </c>
      <c r="C58" s="538" t="s">
        <v>77</v>
      </c>
      <c r="D58" s="538"/>
      <c r="E58" s="538" t="s">
        <v>223</v>
      </c>
      <c r="F58" s="538" t="s">
        <v>224</v>
      </c>
      <c r="G58" s="538"/>
      <c r="H58" s="538"/>
      <c r="I58" s="538"/>
      <c r="J58" s="538"/>
      <c r="K58" s="538"/>
      <c r="L58" s="538"/>
      <c r="M58" s="538"/>
      <c r="N58" s="538" t="s">
        <v>225</v>
      </c>
      <c r="O58" s="538"/>
      <c r="P58" s="538"/>
      <c r="Q58" s="538"/>
      <c r="R58" s="540"/>
      <c r="S58" s="235"/>
      <c r="T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</row>
    <row r="59" spans="1:34" ht="30" customHeight="1">
      <c r="A59" s="235"/>
      <c r="B59" s="548"/>
      <c r="C59" s="305" t="s">
        <v>273</v>
      </c>
      <c r="D59" s="305" t="s">
        <v>274</v>
      </c>
      <c r="E59" s="539"/>
      <c r="F59" s="305" t="s">
        <v>80</v>
      </c>
      <c r="G59" s="305" t="s">
        <v>227</v>
      </c>
      <c r="H59" s="305" t="s">
        <v>82</v>
      </c>
      <c r="I59" s="305" t="s">
        <v>275</v>
      </c>
      <c r="J59" s="305" t="s">
        <v>85</v>
      </c>
      <c r="K59" s="305" t="s">
        <v>228</v>
      </c>
      <c r="L59" s="305" t="s">
        <v>86</v>
      </c>
      <c r="M59" s="305" t="s">
        <v>229</v>
      </c>
      <c r="N59" s="305" t="s">
        <v>231</v>
      </c>
      <c r="O59" s="305" t="s">
        <v>230</v>
      </c>
      <c r="P59" s="305" t="s">
        <v>232</v>
      </c>
      <c r="Q59" s="305" t="s">
        <v>233</v>
      </c>
      <c r="R59" s="311" t="s">
        <v>234</v>
      </c>
      <c r="S59" s="235"/>
      <c r="T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</row>
    <row r="60" spans="1:34" ht="14.25">
      <c r="A60" s="235"/>
      <c r="B60" s="343" t="s">
        <v>285</v>
      </c>
      <c r="C60" s="347">
        <v>0.82540000000000002</v>
      </c>
      <c r="D60" s="342" t="s">
        <v>139</v>
      </c>
      <c r="E60" s="347">
        <v>0.34920000000000001</v>
      </c>
      <c r="F60" s="347">
        <v>0.20095199999999999</v>
      </c>
      <c r="G60" s="347">
        <v>0.22478400000000001</v>
      </c>
      <c r="H60" s="347">
        <v>0.27572400000000002</v>
      </c>
      <c r="I60" s="347">
        <v>0.263988</v>
      </c>
      <c r="J60" s="347">
        <v>0.24699599999999999</v>
      </c>
      <c r="K60" s="347">
        <v>0</v>
      </c>
      <c r="L60" s="347">
        <v>0.341028</v>
      </c>
      <c r="M60" s="347">
        <v>0.338256</v>
      </c>
      <c r="N60" s="342">
        <v>0</v>
      </c>
      <c r="O60" s="342">
        <v>0</v>
      </c>
      <c r="P60" s="342">
        <v>0</v>
      </c>
      <c r="Q60" s="342">
        <v>0</v>
      </c>
      <c r="R60" s="342">
        <v>0</v>
      </c>
      <c r="S60" s="235"/>
      <c r="T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</row>
    <row r="61" spans="1:34" ht="14.25">
      <c r="A61" s="235"/>
      <c r="B61" s="343" t="s">
        <v>286</v>
      </c>
      <c r="C61" s="348">
        <v>1.2E-5</v>
      </c>
      <c r="D61" s="342" t="s">
        <v>139</v>
      </c>
      <c r="E61" s="342">
        <v>0</v>
      </c>
      <c r="F61" s="454">
        <v>3.5999999999999998E-6</v>
      </c>
      <c r="G61" s="454">
        <v>3.5999999999999998E-6</v>
      </c>
      <c r="H61" s="348">
        <v>3.6000000000000001E-5</v>
      </c>
      <c r="I61" s="348">
        <v>1.08E-5</v>
      </c>
      <c r="J61" s="348">
        <v>1.08E-5</v>
      </c>
      <c r="K61" s="348">
        <v>0</v>
      </c>
      <c r="L61" s="348">
        <v>1.08E-3</v>
      </c>
      <c r="M61" s="348">
        <v>3.6000000000000001E-5</v>
      </c>
      <c r="N61" s="342">
        <v>0</v>
      </c>
      <c r="O61" s="342">
        <v>0</v>
      </c>
      <c r="P61" s="348">
        <v>1.08E-3</v>
      </c>
      <c r="Q61" s="342">
        <v>0</v>
      </c>
      <c r="R61" s="342">
        <v>0</v>
      </c>
      <c r="S61" s="235"/>
      <c r="T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</row>
    <row r="62" spans="1:34" ht="14.25">
      <c r="A62" s="235"/>
      <c r="B62" s="343" t="s">
        <v>287</v>
      </c>
      <c r="C62" s="348">
        <v>1.7999999999999997E-5</v>
      </c>
      <c r="D62" s="342" t="s">
        <v>139</v>
      </c>
      <c r="E62" s="342">
        <v>0</v>
      </c>
      <c r="F62" s="455">
        <v>3.5999999999999999E-7</v>
      </c>
      <c r="G62" s="455">
        <v>3.5999999999999999E-7</v>
      </c>
      <c r="H62" s="454">
        <v>2.1600000000000001E-6</v>
      </c>
      <c r="I62" s="454">
        <v>2.1600000000000001E-6</v>
      </c>
      <c r="J62" s="454">
        <v>2.1600000000000001E-6</v>
      </c>
      <c r="K62" s="348">
        <v>0</v>
      </c>
      <c r="L62" s="454">
        <v>5.04E-6</v>
      </c>
      <c r="M62" s="454">
        <v>5.04E-6</v>
      </c>
      <c r="N62" s="342">
        <v>0</v>
      </c>
      <c r="O62" s="342">
        <v>0</v>
      </c>
      <c r="P62" s="454">
        <v>1.4399999999999999E-5</v>
      </c>
      <c r="Q62" s="342">
        <v>0</v>
      </c>
      <c r="R62" s="342">
        <v>0</v>
      </c>
      <c r="S62" s="235"/>
      <c r="T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</row>
    <row r="63" spans="1:34" ht="14.25">
      <c r="A63" s="235"/>
      <c r="B63" s="343" t="s">
        <v>288</v>
      </c>
      <c r="C63" s="342">
        <v>28</v>
      </c>
      <c r="D63" s="342">
        <v>28</v>
      </c>
      <c r="E63" s="342">
        <v>28</v>
      </c>
      <c r="F63" s="342">
        <v>28</v>
      </c>
      <c r="G63" s="342">
        <v>28</v>
      </c>
      <c r="H63" s="342">
        <v>28</v>
      </c>
      <c r="I63" s="342">
        <v>28</v>
      </c>
      <c r="J63" s="342">
        <v>28</v>
      </c>
      <c r="K63" s="342">
        <v>28</v>
      </c>
      <c r="L63" s="342">
        <v>28</v>
      </c>
      <c r="M63" s="342">
        <v>28</v>
      </c>
      <c r="N63" s="342">
        <v>28</v>
      </c>
      <c r="O63" s="342">
        <v>28</v>
      </c>
      <c r="P63" s="342">
        <v>28</v>
      </c>
      <c r="Q63" s="342">
        <v>28</v>
      </c>
      <c r="R63" s="342">
        <v>28</v>
      </c>
      <c r="S63" s="235"/>
      <c r="T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</row>
    <row r="64" spans="1:34" ht="15" thickBot="1">
      <c r="A64" s="235"/>
      <c r="B64" s="349" t="s">
        <v>289</v>
      </c>
      <c r="C64" s="312">
        <v>265</v>
      </c>
      <c r="D64" s="312">
        <v>265</v>
      </c>
      <c r="E64" s="312">
        <v>265</v>
      </c>
      <c r="F64" s="312">
        <v>265</v>
      </c>
      <c r="G64" s="312">
        <v>265</v>
      </c>
      <c r="H64" s="312">
        <v>265</v>
      </c>
      <c r="I64" s="312">
        <v>265</v>
      </c>
      <c r="J64" s="312">
        <v>265</v>
      </c>
      <c r="K64" s="312">
        <v>265</v>
      </c>
      <c r="L64" s="312">
        <v>265</v>
      </c>
      <c r="M64" s="312">
        <v>265</v>
      </c>
      <c r="N64" s="312">
        <v>265</v>
      </c>
      <c r="O64" s="312">
        <v>265</v>
      </c>
      <c r="P64" s="312">
        <v>265</v>
      </c>
      <c r="Q64" s="312">
        <v>265</v>
      </c>
      <c r="R64" s="312">
        <v>265</v>
      </c>
      <c r="S64" s="235"/>
      <c r="T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</row>
    <row r="65" spans="1:34">
      <c r="A65" s="235"/>
      <c r="B65" s="240"/>
      <c r="C65" s="240"/>
      <c r="D65" s="30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>
        <f>P60+(P61*P63)+(P62*P64)</f>
        <v>3.4056000000000003E-2</v>
      </c>
      <c r="Q65" s="238"/>
      <c r="R65" s="238"/>
      <c r="S65" s="235"/>
      <c r="T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</row>
    <row r="66" spans="1:34" ht="16.5" thickBot="1">
      <c r="A66" s="235"/>
      <c r="B66" s="291" t="s">
        <v>276</v>
      </c>
      <c r="C66" s="310"/>
      <c r="D66" s="310"/>
      <c r="E66" s="310"/>
      <c r="F66" s="310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5"/>
      <c r="T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</row>
    <row r="67" spans="1:34" ht="25.5" customHeight="1">
      <c r="A67" s="235"/>
      <c r="B67" s="313" t="s">
        <v>277</v>
      </c>
      <c r="C67" s="314" t="s">
        <v>278</v>
      </c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5"/>
      <c r="Q67" s="235"/>
      <c r="R67" s="235"/>
      <c r="S67" s="235"/>
      <c r="T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</row>
    <row r="68" spans="1:34" ht="15" customHeight="1">
      <c r="A68" s="235"/>
      <c r="B68" s="306" t="s">
        <v>4</v>
      </c>
      <c r="C68" s="350">
        <v>4417</v>
      </c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5"/>
      <c r="Q68" s="235"/>
      <c r="R68" s="235"/>
      <c r="S68" s="235"/>
      <c r="T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</row>
    <row r="69" spans="1:34" ht="15" customHeight="1">
      <c r="A69" s="235"/>
      <c r="B69" s="306" t="s">
        <v>18</v>
      </c>
      <c r="C69" s="315">
        <v>12066</v>
      </c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5"/>
      <c r="Q69" s="235"/>
      <c r="R69" s="235"/>
      <c r="S69" s="235"/>
      <c r="T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</row>
    <row r="70" spans="1:34" ht="15" customHeight="1" thickBot="1">
      <c r="A70" s="235"/>
      <c r="B70" s="316" t="s">
        <v>264</v>
      </c>
      <c r="C70" s="351">
        <v>-8724</v>
      </c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5"/>
      <c r="Q70" s="235"/>
      <c r="R70" s="235"/>
      <c r="S70" s="235"/>
      <c r="T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</row>
    <row r="71" spans="1:34">
      <c r="A71" s="235"/>
      <c r="B71" s="240"/>
      <c r="C71" s="240"/>
      <c r="D71" s="30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5"/>
      <c r="T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</row>
    <row r="72" spans="1:34" ht="16.5" thickBot="1">
      <c r="A72" s="235"/>
      <c r="B72" s="317" t="s">
        <v>279</v>
      </c>
      <c r="C72" s="318"/>
      <c r="D72" s="31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5"/>
      <c r="T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</row>
    <row r="73" spans="1:34" ht="14.25" customHeight="1">
      <c r="A73" s="319"/>
      <c r="B73" s="515" t="s">
        <v>2</v>
      </c>
      <c r="C73" s="516"/>
      <c r="D73" s="541" t="s">
        <v>280</v>
      </c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  <c r="P73" s="542"/>
      <c r="Q73" s="542"/>
      <c r="R73" s="542"/>
      <c r="S73" s="543"/>
      <c r="T73" s="319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</row>
    <row r="74" spans="1:34" ht="14.25" customHeight="1">
      <c r="A74" s="319"/>
      <c r="B74" s="517"/>
      <c r="C74" s="518"/>
      <c r="D74" s="522" t="s">
        <v>77</v>
      </c>
      <c r="E74" s="522" t="s">
        <v>223</v>
      </c>
      <c r="F74" s="522" t="s">
        <v>224</v>
      </c>
      <c r="G74" s="522"/>
      <c r="H74" s="522"/>
      <c r="I74" s="522"/>
      <c r="J74" s="522"/>
      <c r="K74" s="522"/>
      <c r="L74" s="522"/>
      <c r="M74" s="522"/>
      <c r="N74" s="522" t="s">
        <v>225</v>
      </c>
      <c r="O74" s="522"/>
      <c r="P74" s="522"/>
      <c r="Q74" s="522"/>
      <c r="R74" s="522"/>
      <c r="S74" s="534" t="s">
        <v>226</v>
      </c>
      <c r="T74" s="319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</row>
    <row r="75" spans="1:34" ht="26.25" thickBot="1">
      <c r="A75" s="319"/>
      <c r="B75" s="517"/>
      <c r="C75" s="518"/>
      <c r="D75" s="523"/>
      <c r="E75" s="523"/>
      <c r="F75" s="263" t="s">
        <v>80</v>
      </c>
      <c r="G75" s="263" t="s">
        <v>227</v>
      </c>
      <c r="H75" s="263" t="s">
        <v>82</v>
      </c>
      <c r="I75" s="263" t="s">
        <v>84</v>
      </c>
      <c r="J75" s="263" t="s">
        <v>85</v>
      </c>
      <c r="K75" s="263" t="s">
        <v>228</v>
      </c>
      <c r="L75" s="263" t="s">
        <v>86</v>
      </c>
      <c r="M75" s="263" t="s">
        <v>229</v>
      </c>
      <c r="N75" s="263" t="s">
        <v>230</v>
      </c>
      <c r="O75" s="263" t="s">
        <v>231</v>
      </c>
      <c r="P75" s="263" t="s">
        <v>232</v>
      </c>
      <c r="Q75" s="263" t="s">
        <v>233</v>
      </c>
      <c r="R75" s="263" t="s">
        <v>234</v>
      </c>
      <c r="S75" s="535"/>
      <c r="T75" s="319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</row>
    <row r="76" spans="1:34" ht="14.25" customHeight="1">
      <c r="A76" s="235"/>
      <c r="B76" s="320" t="s">
        <v>235</v>
      </c>
      <c r="C76" s="321"/>
      <c r="D76" s="322"/>
      <c r="E76" s="322"/>
      <c r="F76" s="322"/>
      <c r="G76" s="322"/>
      <c r="H76" s="322"/>
      <c r="I76" s="322"/>
      <c r="J76" s="322"/>
      <c r="K76" s="322"/>
      <c r="L76" s="322"/>
      <c r="M76" s="322"/>
      <c r="N76" s="322"/>
      <c r="O76" s="322"/>
      <c r="P76" s="322"/>
      <c r="Q76" s="322"/>
      <c r="R76" s="322"/>
      <c r="S76" s="323"/>
      <c r="T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</row>
    <row r="77" spans="1:34" ht="14.25" customHeight="1">
      <c r="A77" s="235"/>
      <c r="B77" s="324" t="s">
        <v>236</v>
      </c>
      <c r="C77" s="325"/>
      <c r="D77" s="357">
        <v>38751</v>
      </c>
      <c r="E77" s="357">
        <v>49493</v>
      </c>
      <c r="F77" s="357">
        <v>17510</v>
      </c>
      <c r="G77" s="357">
        <v>14</v>
      </c>
      <c r="H77" s="357">
        <v>642</v>
      </c>
      <c r="I77" s="357">
        <v>0</v>
      </c>
      <c r="J77" s="357">
        <v>0</v>
      </c>
      <c r="K77" s="357">
        <v>0</v>
      </c>
      <c r="L77" s="357">
        <v>0</v>
      </c>
      <c r="M77" s="357">
        <v>170</v>
      </c>
      <c r="N77" s="357">
        <v>0</v>
      </c>
      <c r="O77" s="357">
        <v>0</v>
      </c>
      <c r="P77" s="357">
        <v>0</v>
      </c>
      <c r="Q77" s="357">
        <v>0</v>
      </c>
      <c r="R77" s="357">
        <v>0</v>
      </c>
      <c r="S77" s="326">
        <v>106580</v>
      </c>
      <c r="T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</row>
    <row r="78" spans="1:34" ht="14.25" customHeight="1">
      <c r="A78" s="235"/>
      <c r="B78" s="327" t="s">
        <v>237</v>
      </c>
      <c r="C78" s="328"/>
      <c r="D78" s="357">
        <v>712962</v>
      </c>
      <c r="E78" s="357">
        <v>148860</v>
      </c>
      <c r="F78" s="357">
        <v>40887</v>
      </c>
      <c r="G78" s="357">
        <v>394</v>
      </c>
      <c r="H78" s="357">
        <v>7252</v>
      </c>
      <c r="I78" s="357">
        <v>0</v>
      </c>
      <c r="J78" s="357">
        <v>0</v>
      </c>
      <c r="K78" s="357">
        <v>0</v>
      </c>
      <c r="L78" s="357">
        <v>0</v>
      </c>
      <c r="M78" s="357">
        <v>10740</v>
      </c>
      <c r="N78" s="357">
        <v>0</v>
      </c>
      <c r="O78" s="357">
        <v>0</v>
      </c>
      <c r="P78" s="357">
        <v>0</v>
      </c>
      <c r="Q78" s="357">
        <v>0</v>
      </c>
      <c r="R78" s="357">
        <v>0</v>
      </c>
      <c r="S78" s="326">
        <v>921095</v>
      </c>
      <c r="T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</row>
    <row r="79" spans="1:34" ht="14.25" customHeight="1">
      <c r="A79" s="235"/>
      <c r="B79" s="327" t="s">
        <v>0</v>
      </c>
      <c r="C79" s="328"/>
      <c r="D79" s="357">
        <v>453548</v>
      </c>
      <c r="E79" s="357">
        <v>419697</v>
      </c>
      <c r="F79" s="357">
        <v>201420</v>
      </c>
      <c r="G79" s="357">
        <v>5041</v>
      </c>
      <c r="H79" s="357">
        <v>807</v>
      </c>
      <c r="I79" s="357">
        <v>0</v>
      </c>
      <c r="J79" s="357">
        <v>0</v>
      </c>
      <c r="K79" s="357">
        <v>0</v>
      </c>
      <c r="L79" s="357">
        <v>224563</v>
      </c>
      <c r="M79" s="357">
        <v>0</v>
      </c>
      <c r="N79" s="357">
        <v>0</v>
      </c>
      <c r="O79" s="357">
        <v>0</v>
      </c>
      <c r="P79" s="357">
        <v>11178</v>
      </c>
      <c r="Q79" s="357">
        <v>0</v>
      </c>
      <c r="R79" s="357">
        <v>0</v>
      </c>
      <c r="S79" s="326">
        <v>1316254</v>
      </c>
      <c r="T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</row>
    <row r="80" spans="1:34" ht="14.25" customHeight="1">
      <c r="A80" s="235"/>
      <c r="B80" s="327" t="s">
        <v>42</v>
      </c>
      <c r="C80" s="328"/>
      <c r="D80" s="357">
        <v>29601</v>
      </c>
      <c r="E80" s="357">
        <v>0</v>
      </c>
      <c r="F80" s="357">
        <v>101</v>
      </c>
      <c r="G80" s="357">
        <v>0</v>
      </c>
      <c r="H80" s="357">
        <v>0</v>
      </c>
      <c r="I80" s="357">
        <v>0</v>
      </c>
      <c r="J80" s="357">
        <v>0</v>
      </c>
      <c r="K80" s="357">
        <v>0</v>
      </c>
      <c r="L80" s="357">
        <v>0</v>
      </c>
      <c r="M80" s="357">
        <v>0</v>
      </c>
      <c r="N80" s="357">
        <v>0</v>
      </c>
      <c r="O80" s="357">
        <v>0</v>
      </c>
      <c r="P80" s="357">
        <v>0</v>
      </c>
      <c r="Q80" s="357">
        <v>0</v>
      </c>
      <c r="R80" s="357">
        <v>0</v>
      </c>
      <c r="S80" s="326">
        <v>29702</v>
      </c>
      <c r="T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</row>
    <row r="81" spans="1:34" ht="14.25" customHeight="1">
      <c r="A81" s="235"/>
      <c r="B81" s="544" t="s">
        <v>11</v>
      </c>
      <c r="C81" s="355" t="s">
        <v>238</v>
      </c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6"/>
      <c r="P81" s="356"/>
      <c r="Q81" s="356"/>
      <c r="R81" s="356"/>
      <c r="S81" s="356"/>
      <c r="T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</row>
    <row r="82" spans="1:34" ht="14.25" customHeight="1">
      <c r="A82" s="235"/>
      <c r="B82" s="544"/>
      <c r="C82" s="355" t="s">
        <v>239</v>
      </c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</row>
    <row r="83" spans="1:34">
      <c r="A83" s="235"/>
      <c r="B83" s="544"/>
      <c r="C83" s="275" t="s">
        <v>226</v>
      </c>
      <c r="D83" s="357">
        <v>455285</v>
      </c>
      <c r="E83" s="357">
        <v>34293</v>
      </c>
      <c r="F83" s="357">
        <v>87015</v>
      </c>
      <c r="G83" s="357">
        <v>0</v>
      </c>
      <c r="H83" s="357">
        <v>960</v>
      </c>
      <c r="I83" s="357">
        <v>0</v>
      </c>
      <c r="J83" s="357">
        <v>0</v>
      </c>
      <c r="K83" s="357">
        <v>0</v>
      </c>
      <c r="L83" s="357">
        <v>0</v>
      </c>
      <c r="M83" s="357">
        <v>22351</v>
      </c>
      <c r="N83" s="357">
        <v>0</v>
      </c>
      <c r="O83" s="357">
        <v>0</v>
      </c>
      <c r="P83" s="357">
        <v>0</v>
      </c>
      <c r="Q83" s="357">
        <v>0</v>
      </c>
      <c r="R83" s="357">
        <v>0</v>
      </c>
      <c r="S83" s="329">
        <v>599904</v>
      </c>
      <c r="T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</row>
    <row r="84" spans="1:34">
      <c r="A84" s="235"/>
      <c r="B84" s="330" t="s">
        <v>281</v>
      </c>
      <c r="C84" s="331"/>
      <c r="D84" s="358">
        <v>1690147</v>
      </c>
      <c r="E84" s="358">
        <v>652343</v>
      </c>
      <c r="F84" s="358">
        <v>346933</v>
      </c>
      <c r="G84" s="358">
        <v>5449</v>
      </c>
      <c r="H84" s="358">
        <v>9661</v>
      </c>
      <c r="I84" s="358">
        <v>0</v>
      </c>
      <c r="J84" s="358">
        <v>0</v>
      </c>
      <c r="K84" s="358">
        <v>0</v>
      </c>
      <c r="L84" s="358">
        <v>224563</v>
      </c>
      <c r="M84" s="358">
        <v>33261</v>
      </c>
      <c r="N84" s="358">
        <v>0</v>
      </c>
      <c r="O84" s="358">
        <v>0</v>
      </c>
      <c r="P84" s="358">
        <v>11178</v>
      </c>
      <c r="Q84" s="358">
        <v>0</v>
      </c>
      <c r="R84" s="358">
        <v>0</v>
      </c>
      <c r="S84" s="326">
        <v>2973535</v>
      </c>
      <c r="T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</row>
    <row r="85" spans="1:34" ht="14.25" customHeight="1">
      <c r="A85" s="235"/>
      <c r="B85" s="332" t="s">
        <v>241</v>
      </c>
      <c r="C85" s="321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4"/>
      <c r="T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</row>
    <row r="86" spans="1:34" ht="14.25" customHeight="1">
      <c r="A86" s="235"/>
      <c r="B86" s="327" t="s">
        <v>242</v>
      </c>
      <c r="C86" s="335"/>
      <c r="D86" s="357">
        <v>0</v>
      </c>
      <c r="E86" s="357">
        <v>0</v>
      </c>
      <c r="F86" s="357">
        <v>0</v>
      </c>
      <c r="G86" s="357">
        <v>0</v>
      </c>
      <c r="H86" s="357">
        <v>0</v>
      </c>
      <c r="I86" s="357">
        <v>0</v>
      </c>
      <c r="J86" s="357">
        <v>4</v>
      </c>
      <c r="K86" s="357">
        <v>0</v>
      </c>
      <c r="L86" s="357">
        <v>0</v>
      </c>
      <c r="M86" s="357">
        <v>0</v>
      </c>
      <c r="N86" s="357">
        <v>0</v>
      </c>
      <c r="O86" s="357">
        <v>0</v>
      </c>
      <c r="P86" s="357">
        <v>0</v>
      </c>
      <c r="Q86" s="357">
        <v>0</v>
      </c>
      <c r="R86" s="357">
        <v>0</v>
      </c>
      <c r="S86" s="326">
        <v>4</v>
      </c>
      <c r="T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</row>
    <row r="87" spans="1:34" ht="14.25" customHeight="1">
      <c r="A87" s="235"/>
      <c r="B87" s="327" t="s">
        <v>243</v>
      </c>
      <c r="C87" s="335"/>
      <c r="D87" s="357">
        <v>51622</v>
      </c>
      <c r="E87" s="357">
        <v>0</v>
      </c>
      <c r="F87" s="357">
        <v>0</v>
      </c>
      <c r="G87" s="357">
        <v>0</v>
      </c>
      <c r="H87" s="357">
        <v>0</v>
      </c>
      <c r="I87" s="357">
        <v>29933</v>
      </c>
      <c r="J87" s="357">
        <v>0</v>
      </c>
      <c r="K87" s="357">
        <v>0</v>
      </c>
      <c r="L87" s="357">
        <v>0</v>
      </c>
      <c r="M87" s="357">
        <v>0</v>
      </c>
      <c r="N87" s="357">
        <v>0</v>
      </c>
      <c r="O87" s="357">
        <v>0</v>
      </c>
      <c r="P87" s="357">
        <v>0</v>
      </c>
      <c r="Q87" s="357">
        <v>0</v>
      </c>
      <c r="R87" s="357">
        <v>0</v>
      </c>
      <c r="S87" s="326">
        <v>81555</v>
      </c>
      <c r="T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</row>
    <row r="88" spans="1:34" ht="14.25" customHeight="1">
      <c r="A88" s="235"/>
      <c r="B88" s="327" t="s">
        <v>244</v>
      </c>
      <c r="C88" s="335"/>
      <c r="D88" s="357">
        <v>14450</v>
      </c>
      <c r="E88" s="357">
        <v>0</v>
      </c>
      <c r="F88" s="357">
        <v>510</v>
      </c>
      <c r="G88" s="357">
        <v>50523</v>
      </c>
      <c r="H88" s="357">
        <v>0</v>
      </c>
      <c r="I88" s="357">
        <v>498462</v>
      </c>
      <c r="J88" s="357">
        <v>402526</v>
      </c>
      <c r="K88" s="357">
        <v>0</v>
      </c>
      <c r="L88" s="357">
        <v>0</v>
      </c>
      <c r="M88" s="357">
        <v>0</v>
      </c>
      <c r="N88" s="357">
        <v>0</v>
      </c>
      <c r="O88" s="357">
        <v>0</v>
      </c>
      <c r="P88" s="357">
        <v>0</v>
      </c>
      <c r="Q88" s="357">
        <v>0</v>
      </c>
      <c r="R88" s="357">
        <v>0</v>
      </c>
      <c r="S88" s="326">
        <v>966471</v>
      </c>
      <c r="T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</row>
    <row r="89" spans="1:34">
      <c r="A89" s="235"/>
      <c r="B89" s="330" t="s">
        <v>281</v>
      </c>
      <c r="C89" s="331"/>
      <c r="D89" s="358">
        <v>66072</v>
      </c>
      <c r="E89" s="358">
        <v>0</v>
      </c>
      <c r="F89" s="358">
        <v>510</v>
      </c>
      <c r="G89" s="358">
        <v>50523</v>
      </c>
      <c r="H89" s="358">
        <v>0</v>
      </c>
      <c r="I89" s="358">
        <v>528395</v>
      </c>
      <c r="J89" s="358">
        <v>402530</v>
      </c>
      <c r="K89" s="358">
        <v>0</v>
      </c>
      <c r="L89" s="358">
        <v>0</v>
      </c>
      <c r="M89" s="358">
        <v>0</v>
      </c>
      <c r="N89" s="358">
        <v>0</v>
      </c>
      <c r="O89" s="358">
        <v>0</v>
      </c>
      <c r="P89" s="358">
        <v>0</v>
      </c>
      <c r="Q89" s="358">
        <v>0</v>
      </c>
      <c r="R89" s="358">
        <v>0</v>
      </c>
      <c r="S89" s="326">
        <v>1048030</v>
      </c>
      <c r="T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</row>
    <row r="90" spans="1:34">
      <c r="A90" s="235"/>
      <c r="B90" s="332" t="s">
        <v>282</v>
      </c>
      <c r="C90" s="321"/>
      <c r="D90" s="333"/>
      <c r="E90" s="333"/>
      <c r="F90" s="333"/>
      <c r="G90" s="333"/>
      <c r="H90" s="333"/>
      <c r="I90" s="333"/>
      <c r="J90" s="333"/>
      <c r="K90" s="333"/>
      <c r="L90" s="333"/>
      <c r="M90" s="333"/>
      <c r="N90" s="333"/>
      <c r="O90" s="333"/>
      <c r="P90" s="333"/>
      <c r="Q90" s="333"/>
      <c r="R90" s="333"/>
      <c r="S90" s="334"/>
      <c r="T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</row>
    <row r="91" spans="1:34" ht="14.25" customHeight="1">
      <c r="A91" s="235"/>
      <c r="B91" s="327" t="s">
        <v>247</v>
      </c>
      <c r="C91" s="335"/>
      <c r="D91" s="357">
        <v>0</v>
      </c>
      <c r="E91" s="357">
        <v>0</v>
      </c>
      <c r="F91" s="357">
        <v>809</v>
      </c>
      <c r="G91" s="357">
        <v>0</v>
      </c>
      <c r="H91" s="357">
        <v>0</v>
      </c>
      <c r="I91" s="357">
        <v>2887</v>
      </c>
      <c r="J91" s="357">
        <v>0</v>
      </c>
      <c r="K91" s="357">
        <v>0</v>
      </c>
      <c r="L91" s="357">
        <v>0</v>
      </c>
      <c r="M91" s="357">
        <v>0</v>
      </c>
      <c r="N91" s="357">
        <v>0</v>
      </c>
      <c r="O91" s="357">
        <v>0</v>
      </c>
      <c r="P91" s="357">
        <v>0</v>
      </c>
      <c r="Q91" s="357">
        <v>0</v>
      </c>
      <c r="R91" s="357">
        <v>0</v>
      </c>
      <c r="S91" s="326">
        <v>3696</v>
      </c>
      <c r="T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</row>
    <row r="92" spans="1:34">
      <c r="A92" s="235"/>
      <c r="B92" s="320" t="s">
        <v>283</v>
      </c>
      <c r="C92" s="336"/>
      <c r="D92" s="333"/>
      <c r="E92" s="333"/>
      <c r="F92" s="333"/>
      <c r="G92" s="333"/>
      <c r="H92" s="333"/>
      <c r="I92" s="333"/>
      <c r="J92" s="333"/>
      <c r="K92" s="333"/>
      <c r="L92" s="333"/>
      <c r="M92" s="333"/>
      <c r="N92" s="333"/>
      <c r="O92" s="333"/>
      <c r="P92" s="333"/>
      <c r="Q92" s="333"/>
      <c r="R92" s="333"/>
      <c r="S92" s="334"/>
      <c r="T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</row>
    <row r="93" spans="1:34">
      <c r="A93" s="235"/>
      <c r="B93" s="344" t="s">
        <v>4</v>
      </c>
      <c r="C93" s="345"/>
      <c r="D93" s="359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1"/>
      <c r="S93" s="326">
        <v>4417</v>
      </c>
      <c r="T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</row>
    <row r="94" spans="1:34">
      <c r="A94" s="235"/>
      <c r="B94" s="344" t="s">
        <v>18</v>
      </c>
      <c r="C94" s="345"/>
      <c r="D94" s="362"/>
      <c r="E94" s="363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4"/>
      <c r="S94" s="326">
        <v>12066</v>
      </c>
      <c r="T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</row>
    <row r="95" spans="1:34" ht="14.25" customHeight="1">
      <c r="A95" s="235"/>
      <c r="B95" s="344" t="s">
        <v>264</v>
      </c>
      <c r="C95" s="346"/>
      <c r="D95" s="365"/>
      <c r="E95" s="366"/>
      <c r="F95" s="366"/>
      <c r="G95" s="366"/>
      <c r="H95" s="366"/>
      <c r="I95" s="366"/>
      <c r="J95" s="366"/>
      <c r="K95" s="366"/>
      <c r="L95" s="366"/>
      <c r="M95" s="366"/>
      <c r="N95" s="366"/>
      <c r="O95" s="366"/>
      <c r="P95" s="366"/>
      <c r="Q95" s="366"/>
      <c r="R95" s="367"/>
      <c r="S95" s="326">
        <v>-8723</v>
      </c>
      <c r="T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</row>
    <row r="96" spans="1:34" ht="13.5" thickBot="1">
      <c r="A96" s="235"/>
      <c r="B96" s="337" t="s">
        <v>248</v>
      </c>
      <c r="C96" s="338"/>
      <c r="D96" s="372">
        <v>1756219</v>
      </c>
      <c r="E96" s="372">
        <v>652343</v>
      </c>
      <c r="F96" s="372">
        <v>348252</v>
      </c>
      <c r="G96" s="372">
        <v>55972</v>
      </c>
      <c r="H96" s="372">
        <v>9661</v>
      </c>
      <c r="I96" s="372">
        <v>531282</v>
      </c>
      <c r="J96" s="372">
        <v>402530</v>
      </c>
      <c r="K96" s="372">
        <v>0</v>
      </c>
      <c r="L96" s="372">
        <v>224563</v>
      </c>
      <c r="M96" s="372">
        <v>33261</v>
      </c>
      <c r="N96" s="372">
        <v>0</v>
      </c>
      <c r="O96" s="372">
        <v>0</v>
      </c>
      <c r="P96" s="372">
        <v>11178</v>
      </c>
      <c r="Q96" s="372">
        <v>0</v>
      </c>
      <c r="R96" s="372">
        <v>0</v>
      </c>
      <c r="S96" s="373">
        <v>4033021</v>
      </c>
      <c r="T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</row>
    <row r="97" spans="1:34" s="235" customFormat="1" ht="39.75" customHeight="1">
      <c r="B97" s="240"/>
      <c r="C97" s="240"/>
      <c r="D97" s="456"/>
      <c r="E97" s="457"/>
      <c r="F97" s="457"/>
      <c r="G97" s="457"/>
      <c r="H97" s="457"/>
      <c r="I97" s="457"/>
      <c r="J97" s="457"/>
      <c r="K97" s="238"/>
      <c r="L97" s="457"/>
      <c r="M97" s="457"/>
      <c r="N97" s="238"/>
      <c r="O97" s="238"/>
      <c r="P97" s="238"/>
      <c r="Q97" s="238"/>
      <c r="R97" s="238"/>
      <c r="S97" s="458"/>
    </row>
    <row r="98" spans="1:34" s="235" customFormat="1">
      <c r="B98" s="478" t="s">
        <v>343</v>
      </c>
      <c r="S98" s="476"/>
    </row>
    <row r="99" spans="1:34" s="235" customFormat="1">
      <c r="B99" s="478" t="s">
        <v>344</v>
      </c>
      <c r="D99" s="478">
        <v>128437</v>
      </c>
      <c r="E99" s="478" t="s">
        <v>220</v>
      </c>
    </row>
    <row r="100" spans="1:34" s="235" customFormat="1">
      <c r="B100" s="478" t="s">
        <v>345</v>
      </c>
      <c r="D100" s="480">
        <v>97</v>
      </c>
      <c r="E100" s="480" t="s">
        <v>220</v>
      </c>
    </row>
    <row r="101" spans="1:34" s="235" customFormat="1">
      <c r="B101" s="479" t="s">
        <v>346</v>
      </c>
      <c r="D101" s="479">
        <v>128534</v>
      </c>
      <c r="E101" s="478" t="s">
        <v>220</v>
      </c>
    </row>
    <row r="102" spans="1:34" s="235" customFormat="1">
      <c r="D102" s="458"/>
    </row>
    <row r="103" spans="1:34" s="235" customFormat="1"/>
    <row r="104" spans="1:34" s="235" customFormat="1"/>
    <row r="105" spans="1:34" s="235" customFormat="1"/>
    <row r="106" spans="1:34" s="235" customFormat="1"/>
    <row r="107" spans="1:34" s="235" customFormat="1"/>
    <row r="108" spans="1:34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</row>
    <row r="109" spans="1:34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</row>
    <row r="110" spans="1:34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</row>
    <row r="111" spans="1:34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</row>
    <row r="112" spans="1:34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</row>
    <row r="113" spans="1:34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</row>
    <row r="114" spans="1:34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</row>
    <row r="115" spans="1:34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</row>
    <row r="116" spans="1:34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</row>
    <row r="117" spans="1:34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</row>
    <row r="118" spans="1:34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</row>
    <row r="119" spans="1:34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</row>
    <row r="120" spans="1:34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</row>
    <row r="121" spans="1:34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</row>
    <row r="122" spans="1:34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</row>
    <row r="123" spans="1:34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</row>
    <row r="124" spans="1:34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</row>
    <row r="125" spans="1:34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</row>
    <row r="126" spans="1:34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</row>
    <row r="127" spans="1:34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</row>
    <row r="128" spans="1:34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</row>
    <row r="129" spans="1:34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</row>
    <row r="130" spans="1:34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</row>
    <row r="131" spans="1:34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</row>
    <row r="132" spans="1:34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</row>
    <row r="133" spans="1:34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</row>
    <row r="134" spans="1:34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</row>
    <row r="135" spans="1:34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</row>
    <row r="136" spans="1:34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</row>
    <row r="137" spans="1:34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</row>
    <row r="138" spans="1:34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</row>
    <row r="139" spans="1:34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</row>
    <row r="140" spans="1:34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</row>
    <row r="141" spans="1:34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</row>
    <row r="142" spans="1:34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</row>
    <row r="143" spans="1:34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</row>
    <row r="144" spans="1:34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</row>
    <row r="145" spans="1:34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</row>
    <row r="146" spans="1:34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</row>
    <row r="147" spans="1:34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</row>
    <row r="148" spans="1:34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</row>
    <row r="149" spans="1:34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</row>
    <row r="150" spans="1:34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</row>
    <row r="151" spans="1:34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</row>
    <row r="152" spans="1:34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</row>
    <row r="153" spans="1:34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</row>
    <row r="154" spans="1:34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</row>
    <row r="155" spans="1:34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</row>
    <row r="156" spans="1:34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</row>
    <row r="157" spans="1:34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</row>
    <row r="158" spans="1:34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</row>
    <row r="159" spans="1:34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</row>
    <row r="160" spans="1:34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</row>
    <row r="161" spans="1:34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</row>
    <row r="162" spans="1:34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</row>
    <row r="163" spans="1:34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</row>
    <row r="164" spans="1:34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</row>
    <row r="165" spans="1:34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</row>
    <row r="166" spans="1:34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</row>
    <row r="167" spans="1:34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</row>
    <row r="168" spans="1:34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235"/>
    </row>
    <row r="169" spans="1:34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35"/>
    </row>
    <row r="170" spans="1:34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</row>
    <row r="171" spans="1:34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</row>
    <row r="172" spans="1:34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</row>
    <row r="173" spans="1:34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</row>
    <row r="174" spans="1:34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</row>
    <row r="175" spans="1:34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</row>
    <row r="176" spans="1:34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</row>
    <row r="177" spans="1:34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</row>
    <row r="178" spans="1:34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</row>
    <row r="179" spans="1:34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</row>
    <row r="180" spans="1:34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</row>
    <row r="181" spans="1:34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</row>
    <row r="182" spans="1:34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</row>
    <row r="183" spans="1:34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  <c r="AH183" s="235"/>
    </row>
    <row r="184" spans="1:34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</row>
    <row r="185" spans="1:34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</row>
    <row r="186" spans="1:34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</row>
    <row r="187" spans="1:34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</row>
    <row r="188" spans="1:34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</row>
    <row r="189" spans="1:34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</row>
    <row r="190" spans="1:34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</row>
    <row r="191" spans="1:34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</row>
    <row r="192" spans="1:34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</row>
    <row r="193" spans="1:34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</row>
    <row r="194" spans="1:34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</row>
    <row r="195" spans="1:34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</row>
    <row r="196" spans="1:34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</row>
    <row r="197" spans="1:34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  <c r="AH197" s="235"/>
    </row>
    <row r="198" spans="1:34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</row>
    <row r="199" spans="1:34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</row>
    <row r="200" spans="1:34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</row>
    <row r="201" spans="1:34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</row>
    <row r="202" spans="1:34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</row>
    <row r="203" spans="1:34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  <c r="AH203" s="235"/>
    </row>
    <row r="204" spans="1:34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</row>
    <row r="205" spans="1:34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V205" s="235"/>
      <c r="W205" s="235"/>
      <c r="X205" s="235"/>
      <c r="Y205" s="235"/>
      <c r="Z205" s="235"/>
      <c r="AA205" s="235"/>
      <c r="AB205" s="235"/>
      <c r="AC205" s="235"/>
      <c r="AD205" s="235"/>
      <c r="AE205" s="235"/>
      <c r="AF205" s="235"/>
      <c r="AG205" s="235"/>
      <c r="AH205" s="235"/>
    </row>
    <row r="206" spans="1:34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  <c r="AH206" s="235"/>
    </row>
    <row r="207" spans="1:34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</row>
    <row r="208" spans="1:34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</row>
    <row r="209" spans="1:34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</row>
    <row r="210" spans="1:34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</row>
    <row r="211" spans="1:34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</row>
    <row r="212" spans="1:34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</row>
    <row r="213" spans="1:34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</row>
    <row r="214" spans="1:34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  <c r="AH214" s="235"/>
    </row>
    <row r="215" spans="1:34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  <c r="AH215" s="235"/>
    </row>
    <row r="216" spans="1:34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</row>
    <row r="217" spans="1:34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</row>
    <row r="218" spans="1:34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</row>
    <row r="219" spans="1:34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  <c r="AH219" s="235"/>
    </row>
    <row r="220" spans="1:34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  <c r="AH220" s="235"/>
    </row>
    <row r="221" spans="1:34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</row>
    <row r="222" spans="1:34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  <c r="AH222" s="235"/>
    </row>
    <row r="223" spans="1:34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</row>
    <row r="224" spans="1:34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V224" s="235"/>
      <c r="W224" s="235"/>
      <c r="X224" s="235"/>
      <c r="Y224" s="235"/>
      <c r="Z224" s="235"/>
      <c r="AA224" s="235"/>
      <c r="AB224" s="235"/>
      <c r="AC224" s="235"/>
      <c r="AD224" s="235"/>
      <c r="AE224" s="235"/>
      <c r="AF224" s="235"/>
      <c r="AG224" s="235"/>
      <c r="AH224" s="235"/>
    </row>
    <row r="225" spans="1:34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</row>
    <row r="226" spans="1:34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</row>
    <row r="227" spans="1:34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  <c r="AH227" s="235"/>
    </row>
    <row r="228" spans="1:34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</row>
    <row r="229" spans="1:34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  <c r="AH229" s="235"/>
    </row>
    <row r="230" spans="1:34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V230" s="235"/>
      <c r="W230" s="235"/>
      <c r="X230" s="235"/>
      <c r="Y230" s="235"/>
      <c r="Z230" s="235"/>
      <c r="AA230" s="235"/>
      <c r="AB230" s="235"/>
      <c r="AC230" s="235"/>
      <c r="AD230" s="235"/>
      <c r="AE230" s="235"/>
      <c r="AF230" s="235"/>
      <c r="AG230" s="235"/>
      <c r="AH230" s="235"/>
    </row>
    <row r="231" spans="1:34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</row>
    <row r="232" spans="1:34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</row>
    <row r="233" spans="1:34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  <c r="AH233" s="235"/>
    </row>
    <row r="234" spans="1:34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</row>
    <row r="235" spans="1:34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</row>
    <row r="236" spans="1:34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</row>
    <row r="237" spans="1:34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</row>
    <row r="238" spans="1:34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</row>
  </sheetData>
  <mergeCells count="43"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  <mergeCell ref="N74:R74"/>
    <mergeCell ref="M42:M43"/>
    <mergeCell ref="N42:N43"/>
    <mergeCell ref="E41:N41"/>
    <mergeCell ref="N12:R12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S12:S13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O41:P42"/>
    <mergeCell ref="E42:I42"/>
    <mergeCell ref="J42:J43"/>
    <mergeCell ref="K42:K43"/>
    <mergeCell ref="L42:L43"/>
  </mergeCells>
  <pageMargins left="0.25" right="0.25" top="0.75" bottom="0.75" header="0.3" footer="0.3"/>
  <pageSetup paperSize="9" scale="45" orientation="landscape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T64"/>
  <sheetViews>
    <sheetView zoomScale="90" zoomScaleNormal="90" workbookViewId="0">
      <selection activeCell="H3" sqref="H3:N3"/>
    </sheetView>
  </sheetViews>
  <sheetFormatPr defaultRowHeight="12.75"/>
  <cols>
    <col min="1" max="1" width="9.140625" style="2"/>
    <col min="2" max="2" width="6.85546875" style="2" customWidth="1"/>
    <col min="3" max="3" width="8.140625" style="124" customWidth="1"/>
    <col min="4" max="4" width="4.42578125" style="2" customWidth="1"/>
    <col min="5" max="5" width="5.5703125" style="2" customWidth="1"/>
    <col min="6" max="6" width="51.140625" style="2" customWidth="1"/>
    <col min="7" max="7" width="19" style="2" customWidth="1"/>
    <col min="8" max="19" width="12.7109375" style="2" customWidth="1"/>
    <col min="20" max="16384" width="9.140625" style="2"/>
  </cols>
  <sheetData>
    <row r="1" spans="2:19" ht="21" customHeight="1" thickBot="1">
      <c r="H1" s="568"/>
      <c r="I1" s="568"/>
      <c r="J1" s="568"/>
      <c r="K1" s="129"/>
      <c r="L1" s="129"/>
      <c r="M1" s="129"/>
      <c r="N1" s="129"/>
      <c r="O1" s="129"/>
      <c r="P1" s="129"/>
      <c r="Q1" s="568"/>
      <c r="R1" s="568"/>
      <c r="S1" s="568"/>
    </row>
    <row r="2" spans="2:19" s="13" customFormat="1" ht="61.5" customHeight="1" thickBot="1">
      <c r="B2" s="130" t="s">
        <v>156</v>
      </c>
      <c r="C2" s="127" t="s">
        <v>149</v>
      </c>
      <c r="D2" s="126" t="s">
        <v>2</v>
      </c>
      <c r="E2" s="126" t="s">
        <v>3</v>
      </c>
      <c r="F2" s="24" t="s">
        <v>67</v>
      </c>
      <c r="G2" s="78" t="s">
        <v>141</v>
      </c>
      <c r="H2" s="565" t="s">
        <v>140</v>
      </c>
      <c r="I2" s="566"/>
      <c r="J2" s="566"/>
      <c r="K2" s="566"/>
      <c r="L2" s="566"/>
      <c r="M2" s="566"/>
      <c r="N2" s="566"/>
      <c r="O2" s="566"/>
      <c r="P2" s="567"/>
      <c r="Q2" s="565" t="s">
        <v>153</v>
      </c>
      <c r="R2" s="566"/>
      <c r="S2" s="128" t="s">
        <v>155</v>
      </c>
    </row>
    <row r="3" spans="2:19" s="13" customFormat="1" ht="14.25" customHeight="1" thickBot="1">
      <c r="B3" s="29"/>
      <c r="C3" s="125"/>
      <c r="D3" s="29"/>
      <c r="E3" s="29"/>
      <c r="F3" s="29"/>
      <c r="G3" s="119"/>
      <c r="H3" s="118" t="s">
        <v>110</v>
      </c>
      <c r="I3" s="28" t="s">
        <v>111</v>
      </c>
      <c r="J3" s="28" t="s">
        <v>125</v>
      </c>
      <c r="K3" s="117" t="s">
        <v>113</v>
      </c>
      <c r="L3" s="117" t="s">
        <v>142</v>
      </c>
      <c r="M3" s="117" t="s">
        <v>112</v>
      </c>
      <c r="N3" s="117" t="s">
        <v>143</v>
      </c>
      <c r="O3" s="165" t="s">
        <v>144</v>
      </c>
      <c r="P3" s="166" t="s">
        <v>145</v>
      </c>
      <c r="Q3" s="171" t="s">
        <v>154</v>
      </c>
      <c r="R3" s="166" t="s">
        <v>94</v>
      </c>
      <c r="S3" s="118" t="s">
        <v>125</v>
      </c>
    </row>
    <row r="4" spans="2:19">
      <c r="B4" s="134" t="s">
        <v>57</v>
      </c>
      <c r="C4" s="135"/>
      <c r="D4" s="136" t="s">
        <v>58</v>
      </c>
      <c r="E4" s="17"/>
      <c r="F4" s="17"/>
      <c r="G4" s="120"/>
      <c r="H4" s="34"/>
      <c r="I4" s="149"/>
      <c r="J4" s="149"/>
      <c r="K4" s="149"/>
      <c r="L4" s="149"/>
      <c r="M4" s="149"/>
      <c r="N4" s="160"/>
      <c r="O4" s="167"/>
      <c r="P4" s="154"/>
      <c r="Q4" s="57"/>
      <c r="R4" s="66"/>
      <c r="S4" s="137"/>
    </row>
    <row r="5" spans="2:19">
      <c r="B5" s="138" t="s">
        <v>20</v>
      </c>
      <c r="C5" s="139"/>
      <c r="D5" s="133"/>
      <c r="E5" s="131" t="s">
        <v>0</v>
      </c>
      <c r="F5" s="133"/>
      <c r="G5" s="132"/>
      <c r="H5" s="43"/>
      <c r="I5" s="150"/>
      <c r="J5" s="150"/>
      <c r="K5" s="150"/>
      <c r="L5" s="150"/>
      <c r="M5" s="150"/>
      <c r="N5" s="161"/>
      <c r="O5" s="168"/>
      <c r="P5" s="155"/>
      <c r="Q5" s="58"/>
      <c r="R5" s="68"/>
      <c r="S5" s="140"/>
    </row>
    <row r="6" spans="2:19">
      <c r="B6" s="141" t="s">
        <v>33</v>
      </c>
      <c r="C6" s="142"/>
      <c r="D6" s="10"/>
      <c r="E6" s="10"/>
      <c r="F6" s="18" t="s">
        <v>9</v>
      </c>
      <c r="G6" s="121"/>
      <c r="H6" s="37"/>
      <c r="I6" s="151"/>
      <c r="J6" s="151"/>
      <c r="K6" s="151"/>
      <c r="L6" s="151"/>
      <c r="M6" s="151"/>
      <c r="N6" s="162"/>
      <c r="O6" s="157"/>
      <c r="P6" s="156"/>
      <c r="Q6" s="59"/>
      <c r="R6" s="69"/>
      <c r="S6" s="143"/>
    </row>
    <row r="7" spans="2:19" s="4" customFormat="1">
      <c r="B7" s="141" t="s">
        <v>152</v>
      </c>
      <c r="C7" s="142">
        <v>1</v>
      </c>
      <c r="D7" s="123"/>
      <c r="E7" s="123"/>
      <c r="F7" s="123" t="s">
        <v>146</v>
      </c>
      <c r="G7" s="173"/>
      <c r="H7" s="174"/>
      <c r="I7" s="175"/>
      <c r="J7" s="175"/>
      <c r="K7" s="175"/>
      <c r="L7" s="175"/>
      <c r="M7" s="175"/>
      <c r="N7" s="176"/>
      <c r="O7" s="177"/>
      <c r="P7" s="178"/>
      <c r="Q7" s="179"/>
      <c r="R7" s="180"/>
      <c r="S7" s="181"/>
    </row>
    <row r="8" spans="2:19" s="4" customFormat="1">
      <c r="B8" s="141" t="s">
        <v>150</v>
      </c>
      <c r="C8" s="142">
        <v>2</v>
      </c>
      <c r="D8" s="123"/>
      <c r="E8" s="123"/>
      <c r="F8" s="123" t="s">
        <v>147</v>
      </c>
      <c r="G8" s="173"/>
      <c r="H8" s="174"/>
      <c r="I8" s="175"/>
      <c r="J8" s="175"/>
      <c r="K8" s="175"/>
      <c r="L8" s="175"/>
      <c r="M8" s="175"/>
      <c r="N8" s="176"/>
      <c r="O8" s="177"/>
      <c r="P8" s="178"/>
      <c r="Q8" s="179"/>
      <c r="R8" s="180"/>
      <c r="S8" s="181"/>
    </row>
    <row r="9" spans="2:19" s="4" customFormat="1">
      <c r="B9" s="141" t="s">
        <v>151</v>
      </c>
      <c r="C9" s="142">
        <v>3</v>
      </c>
      <c r="D9" s="123"/>
      <c r="E9" s="123"/>
      <c r="F9" s="123" t="s">
        <v>148</v>
      </c>
      <c r="G9" s="173"/>
      <c r="H9" s="174"/>
      <c r="I9" s="175"/>
      <c r="J9" s="175"/>
      <c r="K9" s="175"/>
      <c r="L9" s="175"/>
      <c r="M9" s="175"/>
      <c r="N9" s="176"/>
      <c r="O9" s="177"/>
      <c r="P9" s="178"/>
      <c r="Q9" s="179"/>
      <c r="R9" s="180"/>
      <c r="S9" s="181"/>
    </row>
    <row r="10" spans="2:19">
      <c r="B10" s="138" t="s">
        <v>34</v>
      </c>
      <c r="C10" s="139"/>
      <c r="D10" s="133"/>
      <c r="E10" s="133"/>
      <c r="F10" s="131" t="s">
        <v>10</v>
      </c>
      <c r="G10" s="132"/>
      <c r="H10" s="43"/>
      <c r="I10" s="150"/>
      <c r="J10" s="150"/>
      <c r="K10" s="150"/>
      <c r="L10" s="150"/>
      <c r="M10" s="150"/>
      <c r="N10" s="161"/>
      <c r="O10" s="168"/>
      <c r="P10" s="155"/>
      <c r="Q10" s="58"/>
      <c r="R10" s="68"/>
      <c r="S10" s="140"/>
    </row>
    <row r="11" spans="2:19" s="4" customFormat="1">
      <c r="B11" s="172"/>
      <c r="C11" s="142">
        <v>1</v>
      </c>
      <c r="D11" s="123"/>
      <c r="E11" s="123"/>
      <c r="F11" s="123" t="s">
        <v>146</v>
      </c>
      <c r="G11" s="173"/>
      <c r="H11" s="174"/>
      <c r="I11" s="175"/>
      <c r="J11" s="175"/>
      <c r="K11" s="175"/>
      <c r="L11" s="175"/>
      <c r="M11" s="175"/>
      <c r="N11" s="176"/>
      <c r="O11" s="177"/>
      <c r="P11" s="178"/>
      <c r="Q11" s="179"/>
      <c r="R11" s="180"/>
      <c r="S11" s="181"/>
    </row>
    <row r="12" spans="2:19" s="4" customFormat="1">
      <c r="B12" s="172"/>
      <c r="C12" s="142">
        <v>2</v>
      </c>
      <c r="D12" s="123"/>
      <c r="E12" s="123"/>
      <c r="F12" s="123" t="s">
        <v>147</v>
      </c>
      <c r="G12" s="173"/>
      <c r="H12" s="174"/>
      <c r="I12" s="175"/>
      <c r="J12" s="175"/>
      <c r="K12" s="175"/>
      <c r="L12" s="175"/>
      <c r="M12" s="175"/>
      <c r="N12" s="176"/>
      <c r="O12" s="177"/>
      <c r="P12" s="178"/>
      <c r="Q12" s="179"/>
      <c r="R12" s="180"/>
      <c r="S12" s="181"/>
    </row>
    <row r="13" spans="2:19" s="4" customFormat="1">
      <c r="B13" s="172"/>
      <c r="C13" s="142">
        <v>3</v>
      </c>
      <c r="D13" s="123"/>
      <c r="E13" s="123"/>
      <c r="F13" s="123" t="s">
        <v>148</v>
      </c>
      <c r="G13" s="173"/>
      <c r="H13" s="174"/>
      <c r="I13" s="175"/>
      <c r="J13" s="175"/>
      <c r="K13" s="175"/>
      <c r="L13" s="175"/>
      <c r="M13" s="175"/>
      <c r="N13" s="176"/>
      <c r="O13" s="177"/>
      <c r="P13" s="178"/>
      <c r="Q13" s="179"/>
      <c r="R13" s="180"/>
      <c r="S13" s="181"/>
    </row>
    <row r="14" spans="2:19">
      <c r="B14" s="138" t="s">
        <v>21</v>
      </c>
      <c r="C14" s="139"/>
      <c r="D14" s="133"/>
      <c r="E14" s="131" t="s">
        <v>54</v>
      </c>
      <c r="F14" s="133"/>
      <c r="G14" s="132"/>
      <c r="H14" s="43"/>
      <c r="I14" s="150"/>
      <c r="J14" s="150"/>
      <c r="K14" s="150"/>
      <c r="L14" s="150"/>
      <c r="M14" s="150"/>
      <c r="N14" s="161"/>
      <c r="O14" s="168"/>
      <c r="P14" s="155"/>
      <c r="Q14" s="58"/>
      <c r="R14" s="68"/>
      <c r="S14" s="140"/>
    </row>
    <row r="15" spans="2:19">
      <c r="B15" s="141" t="s">
        <v>35</v>
      </c>
      <c r="C15" s="142"/>
      <c r="D15" s="10"/>
      <c r="E15" s="10"/>
      <c r="F15" s="10" t="s">
        <v>55</v>
      </c>
      <c r="G15" s="121"/>
      <c r="H15" s="37"/>
      <c r="I15" s="151"/>
      <c r="J15" s="151"/>
      <c r="K15" s="151"/>
      <c r="L15" s="151"/>
      <c r="M15" s="151"/>
      <c r="N15" s="162"/>
      <c r="O15" s="157"/>
      <c r="P15" s="156"/>
      <c r="Q15" s="59"/>
      <c r="R15" s="69"/>
      <c r="S15" s="143"/>
    </row>
    <row r="16" spans="2:19" s="4" customFormat="1">
      <c r="B16" s="172"/>
      <c r="C16" s="142">
        <v>1</v>
      </c>
      <c r="D16" s="123"/>
      <c r="E16" s="123"/>
      <c r="F16" s="123" t="s">
        <v>146</v>
      </c>
      <c r="G16" s="173"/>
      <c r="H16" s="174"/>
      <c r="I16" s="175"/>
      <c r="J16" s="175"/>
      <c r="K16" s="175"/>
      <c r="L16" s="175"/>
      <c r="M16" s="175"/>
      <c r="N16" s="176"/>
      <c r="O16" s="177"/>
      <c r="P16" s="178"/>
      <c r="Q16" s="179"/>
      <c r="R16" s="180"/>
      <c r="S16" s="181"/>
    </row>
    <row r="17" spans="2:19" s="4" customFormat="1">
      <c r="B17" s="172"/>
      <c r="C17" s="142">
        <v>2</v>
      </c>
      <c r="D17" s="123"/>
      <c r="E17" s="123"/>
      <c r="F17" s="123" t="s">
        <v>147</v>
      </c>
      <c r="G17" s="173"/>
      <c r="H17" s="174"/>
      <c r="I17" s="175"/>
      <c r="J17" s="175"/>
      <c r="K17" s="175"/>
      <c r="L17" s="175"/>
      <c r="M17" s="175"/>
      <c r="N17" s="176"/>
      <c r="O17" s="177"/>
      <c r="P17" s="178"/>
      <c r="Q17" s="179"/>
      <c r="R17" s="180"/>
      <c r="S17" s="181"/>
    </row>
    <row r="18" spans="2:19" s="4" customFormat="1">
      <c r="B18" s="172"/>
      <c r="C18" s="142">
        <v>3</v>
      </c>
      <c r="D18" s="123"/>
      <c r="E18" s="123"/>
      <c r="F18" s="123" t="s">
        <v>148</v>
      </c>
      <c r="G18" s="173"/>
      <c r="H18" s="174"/>
      <c r="I18" s="175"/>
      <c r="J18" s="175"/>
      <c r="K18" s="175"/>
      <c r="L18" s="175"/>
      <c r="M18" s="175"/>
      <c r="N18" s="176"/>
      <c r="O18" s="177"/>
      <c r="P18" s="178"/>
      <c r="Q18" s="179"/>
      <c r="R18" s="180"/>
      <c r="S18" s="181"/>
    </row>
    <row r="19" spans="2:19">
      <c r="B19" s="138" t="s">
        <v>36</v>
      </c>
      <c r="C19" s="139"/>
      <c r="D19" s="133"/>
      <c r="E19" s="133"/>
      <c r="F19" s="133" t="s">
        <v>56</v>
      </c>
      <c r="G19" s="132"/>
      <c r="H19" s="43"/>
      <c r="I19" s="150"/>
      <c r="J19" s="150"/>
      <c r="K19" s="150"/>
      <c r="L19" s="150"/>
      <c r="M19" s="150"/>
      <c r="N19" s="161"/>
      <c r="O19" s="168"/>
      <c r="P19" s="155"/>
      <c r="Q19" s="58"/>
      <c r="R19" s="68"/>
      <c r="S19" s="140"/>
    </row>
    <row r="20" spans="2:19" s="4" customFormat="1">
      <c r="B20" s="172"/>
      <c r="C20" s="142">
        <v>1</v>
      </c>
      <c r="D20" s="123"/>
      <c r="E20" s="123"/>
      <c r="F20" s="123" t="s">
        <v>146</v>
      </c>
      <c r="G20" s="173"/>
      <c r="H20" s="174"/>
      <c r="I20" s="175"/>
      <c r="J20" s="175"/>
      <c r="K20" s="175"/>
      <c r="L20" s="175"/>
      <c r="M20" s="175"/>
      <c r="N20" s="176"/>
      <c r="O20" s="177"/>
      <c r="P20" s="178"/>
      <c r="Q20" s="179"/>
      <c r="R20" s="180"/>
      <c r="S20" s="181"/>
    </row>
    <row r="21" spans="2:19" s="4" customFormat="1">
      <c r="B21" s="172"/>
      <c r="C21" s="142">
        <v>2</v>
      </c>
      <c r="D21" s="123"/>
      <c r="E21" s="123"/>
      <c r="F21" s="123" t="s">
        <v>147</v>
      </c>
      <c r="G21" s="173"/>
      <c r="H21" s="174"/>
      <c r="I21" s="175"/>
      <c r="J21" s="175"/>
      <c r="K21" s="175"/>
      <c r="L21" s="175"/>
      <c r="M21" s="175"/>
      <c r="N21" s="176"/>
      <c r="O21" s="177"/>
      <c r="P21" s="178"/>
      <c r="Q21" s="179"/>
      <c r="R21" s="180"/>
      <c r="S21" s="181"/>
    </row>
    <row r="22" spans="2:19" s="4" customFormat="1">
      <c r="B22" s="172"/>
      <c r="C22" s="142">
        <v>3</v>
      </c>
      <c r="D22" s="123"/>
      <c r="E22" s="123"/>
      <c r="F22" s="123" t="s">
        <v>148</v>
      </c>
      <c r="G22" s="173"/>
      <c r="H22" s="174"/>
      <c r="I22" s="175"/>
      <c r="J22" s="175"/>
      <c r="K22" s="175"/>
      <c r="L22" s="175"/>
      <c r="M22" s="175"/>
      <c r="N22" s="176"/>
      <c r="O22" s="177"/>
      <c r="P22" s="178"/>
      <c r="Q22" s="179"/>
      <c r="R22" s="180"/>
      <c r="S22" s="181"/>
    </row>
    <row r="23" spans="2:19">
      <c r="B23" s="138" t="s">
        <v>25</v>
      </c>
      <c r="C23" s="139"/>
      <c r="D23" s="133"/>
      <c r="E23" s="131" t="s">
        <v>42</v>
      </c>
      <c r="F23" s="133"/>
      <c r="G23" s="132"/>
      <c r="H23" s="43"/>
      <c r="I23" s="150"/>
      <c r="J23" s="150"/>
      <c r="K23" s="150"/>
      <c r="L23" s="150"/>
      <c r="M23" s="150"/>
      <c r="N23" s="161"/>
      <c r="O23" s="168"/>
      <c r="P23" s="155"/>
      <c r="Q23" s="58"/>
      <c r="R23" s="68"/>
      <c r="S23" s="140"/>
    </row>
    <row r="24" spans="2:19">
      <c r="B24" s="141" t="s">
        <v>43</v>
      </c>
      <c r="C24" s="142"/>
      <c r="D24" s="10"/>
      <c r="E24" s="10"/>
      <c r="F24" s="10" t="s">
        <v>15</v>
      </c>
      <c r="G24" s="121"/>
      <c r="H24" s="37"/>
      <c r="I24" s="151"/>
      <c r="J24" s="151"/>
      <c r="K24" s="151"/>
      <c r="L24" s="151"/>
      <c r="M24" s="151"/>
      <c r="N24" s="162"/>
      <c r="O24" s="157"/>
      <c r="P24" s="156"/>
      <c r="Q24" s="59"/>
      <c r="R24" s="69"/>
      <c r="S24" s="143"/>
    </row>
    <row r="25" spans="2:19" s="4" customFormat="1">
      <c r="B25" s="172"/>
      <c r="C25" s="142">
        <v>1</v>
      </c>
      <c r="D25" s="123"/>
      <c r="E25" s="123"/>
      <c r="F25" s="123" t="s">
        <v>146</v>
      </c>
      <c r="G25" s="173"/>
      <c r="H25" s="174"/>
      <c r="I25" s="175"/>
      <c r="J25" s="175"/>
      <c r="K25" s="175"/>
      <c r="L25" s="175"/>
      <c r="M25" s="175"/>
      <c r="N25" s="176"/>
      <c r="O25" s="177"/>
      <c r="P25" s="178"/>
      <c r="Q25" s="179"/>
      <c r="R25" s="180"/>
      <c r="S25" s="181"/>
    </row>
    <row r="26" spans="2:19" s="4" customFormat="1">
      <c r="B26" s="172"/>
      <c r="C26" s="142">
        <v>2</v>
      </c>
      <c r="D26" s="123"/>
      <c r="E26" s="123"/>
      <c r="F26" s="123" t="s">
        <v>147</v>
      </c>
      <c r="G26" s="173"/>
      <c r="H26" s="174"/>
      <c r="I26" s="175"/>
      <c r="J26" s="175"/>
      <c r="K26" s="175"/>
      <c r="L26" s="175"/>
      <c r="M26" s="175"/>
      <c r="N26" s="176"/>
      <c r="O26" s="177"/>
      <c r="P26" s="178"/>
      <c r="Q26" s="179"/>
      <c r="R26" s="180"/>
      <c r="S26" s="181"/>
    </row>
    <row r="27" spans="2:19" s="4" customFormat="1">
      <c r="B27" s="172"/>
      <c r="C27" s="142">
        <v>3</v>
      </c>
      <c r="D27" s="123"/>
      <c r="E27" s="123"/>
      <c r="F27" s="123" t="s">
        <v>148</v>
      </c>
      <c r="G27" s="173"/>
      <c r="H27" s="174"/>
      <c r="I27" s="175"/>
      <c r="J27" s="175"/>
      <c r="K27" s="175"/>
      <c r="L27" s="175"/>
      <c r="M27" s="175"/>
      <c r="N27" s="176"/>
      <c r="O27" s="177"/>
      <c r="P27" s="178"/>
      <c r="Q27" s="179"/>
      <c r="R27" s="180"/>
      <c r="S27" s="181"/>
    </row>
    <row r="28" spans="2:19">
      <c r="B28" s="138" t="s">
        <v>44</v>
      </c>
      <c r="C28" s="139"/>
      <c r="D28" s="133"/>
      <c r="E28" s="133"/>
      <c r="F28" s="133" t="s">
        <v>17</v>
      </c>
      <c r="G28" s="132"/>
      <c r="H28" s="43"/>
      <c r="I28" s="150"/>
      <c r="J28" s="150"/>
      <c r="K28" s="150"/>
      <c r="L28" s="150"/>
      <c r="M28" s="150"/>
      <c r="N28" s="161"/>
      <c r="O28" s="168"/>
      <c r="P28" s="155"/>
      <c r="Q28" s="58"/>
      <c r="R28" s="68"/>
      <c r="S28" s="140"/>
    </row>
    <row r="29" spans="2:19" s="4" customFormat="1">
      <c r="B29" s="172"/>
      <c r="C29" s="142">
        <v>1</v>
      </c>
      <c r="D29" s="123"/>
      <c r="E29" s="123"/>
      <c r="F29" s="123" t="s">
        <v>146</v>
      </c>
      <c r="G29" s="173"/>
      <c r="H29" s="174"/>
      <c r="I29" s="175"/>
      <c r="J29" s="175"/>
      <c r="K29" s="175"/>
      <c r="L29" s="175"/>
      <c r="M29" s="175"/>
      <c r="N29" s="176"/>
      <c r="O29" s="177"/>
      <c r="P29" s="178"/>
      <c r="Q29" s="179"/>
      <c r="R29" s="180"/>
      <c r="S29" s="181"/>
    </row>
    <row r="30" spans="2:19" s="4" customFormat="1">
      <c r="B30" s="172"/>
      <c r="C30" s="142">
        <v>2</v>
      </c>
      <c r="D30" s="123"/>
      <c r="E30" s="123"/>
      <c r="F30" s="123" t="s">
        <v>147</v>
      </c>
      <c r="G30" s="173"/>
      <c r="H30" s="174"/>
      <c r="I30" s="175"/>
      <c r="J30" s="175"/>
      <c r="K30" s="175"/>
      <c r="L30" s="175"/>
      <c r="M30" s="175"/>
      <c r="N30" s="176"/>
      <c r="O30" s="177"/>
      <c r="P30" s="178"/>
      <c r="Q30" s="179"/>
      <c r="R30" s="180"/>
      <c r="S30" s="181"/>
    </row>
    <row r="31" spans="2:19" s="4" customFormat="1">
      <c r="B31" s="172"/>
      <c r="C31" s="142">
        <v>3</v>
      </c>
      <c r="D31" s="123"/>
      <c r="E31" s="123"/>
      <c r="F31" s="123" t="s">
        <v>148</v>
      </c>
      <c r="G31" s="173"/>
      <c r="H31" s="174"/>
      <c r="I31" s="175"/>
      <c r="J31" s="175"/>
      <c r="K31" s="175"/>
      <c r="L31" s="175"/>
      <c r="M31" s="175"/>
      <c r="N31" s="176"/>
      <c r="O31" s="177"/>
      <c r="P31" s="178"/>
      <c r="Q31" s="179"/>
      <c r="R31" s="180"/>
      <c r="S31" s="181"/>
    </row>
    <row r="32" spans="2:19">
      <c r="B32" s="138" t="s">
        <v>45</v>
      </c>
      <c r="C32" s="139"/>
      <c r="D32" s="133"/>
      <c r="E32" s="133"/>
      <c r="F32" s="133" t="s">
        <v>16</v>
      </c>
      <c r="G32" s="132"/>
      <c r="H32" s="43"/>
      <c r="I32" s="150"/>
      <c r="J32" s="150"/>
      <c r="K32" s="150"/>
      <c r="L32" s="150"/>
      <c r="M32" s="150"/>
      <c r="N32" s="161"/>
      <c r="O32" s="168"/>
      <c r="P32" s="155"/>
      <c r="Q32" s="58"/>
      <c r="R32" s="68"/>
      <c r="S32" s="140"/>
    </row>
    <row r="33" spans="2:19" s="4" customFormat="1">
      <c r="B33" s="172"/>
      <c r="C33" s="142">
        <v>1</v>
      </c>
      <c r="D33" s="123"/>
      <c r="E33" s="123"/>
      <c r="F33" s="123" t="s">
        <v>146</v>
      </c>
      <c r="G33" s="173"/>
      <c r="H33" s="174"/>
      <c r="I33" s="175"/>
      <c r="J33" s="175"/>
      <c r="K33" s="175"/>
      <c r="L33" s="175"/>
      <c r="M33" s="175"/>
      <c r="N33" s="176"/>
      <c r="O33" s="177"/>
      <c r="P33" s="178"/>
      <c r="Q33" s="179"/>
      <c r="R33" s="180"/>
      <c r="S33" s="181"/>
    </row>
    <row r="34" spans="2:19" s="4" customFormat="1">
      <c r="B34" s="172"/>
      <c r="C34" s="142">
        <v>2</v>
      </c>
      <c r="D34" s="123"/>
      <c r="E34" s="123"/>
      <c r="F34" s="123" t="s">
        <v>147</v>
      </c>
      <c r="G34" s="173"/>
      <c r="H34" s="174"/>
      <c r="I34" s="175"/>
      <c r="J34" s="175"/>
      <c r="K34" s="175"/>
      <c r="L34" s="175"/>
      <c r="M34" s="175"/>
      <c r="N34" s="176"/>
      <c r="O34" s="177"/>
      <c r="P34" s="178"/>
      <c r="Q34" s="179"/>
      <c r="R34" s="180"/>
      <c r="S34" s="181"/>
    </row>
    <row r="35" spans="2:19" s="4" customFormat="1">
      <c r="B35" s="172"/>
      <c r="C35" s="142">
        <v>3</v>
      </c>
      <c r="D35" s="123"/>
      <c r="E35" s="123"/>
      <c r="F35" s="123" t="s">
        <v>148</v>
      </c>
      <c r="G35" s="173"/>
      <c r="H35" s="174"/>
      <c r="I35" s="175"/>
      <c r="J35" s="175"/>
      <c r="K35" s="175"/>
      <c r="L35" s="175"/>
      <c r="M35" s="175"/>
      <c r="N35" s="176"/>
      <c r="O35" s="177"/>
      <c r="P35" s="178"/>
      <c r="Q35" s="179"/>
      <c r="R35" s="180"/>
      <c r="S35" s="181"/>
    </row>
    <row r="36" spans="2:19">
      <c r="B36" s="138" t="s">
        <v>59</v>
      </c>
      <c r="C36" s="139"/>
      <c r="D36" s="131" t="s">
        <v>1</v>
      </c>
      <c r="E36" s="133"/>
      <c r="F36" s="133"/>
      <c r="G36" s="132"/>
      <c r="H36" s="43"/>
      <c r="I36" s="150"/>
      <c r="J36" s="150"/>
      <c r="K36" s="150"/>
      <c r="L36" s="150"/>
      <c r="M36" s="150"/>
      <c r="N36" s="161"/>
      <c r="O36" s="168"/>
      <c r="P36" s="155"/>
      <c r="Q36" s="58"/>
      <c r="R36" s="68"/>
      <c r="S36" s="140"/>
    </row>
    <row r="37" spans="2:19">
      <c r="B37" s="141" t="s">
        <v>26</v>
      </c>
      <c r="C37" s="142"/>
      <c r="D37" s="10"/>
      <c r="E37" s="18" t="s">
        <v>46</v>
      </c>
      <c r="F37" s="10"/>
      <c r="G37" s="121"/>
      <c r="H37" s="43"/>
      <c r="I37" s="150"/>
      <c r="J37" s="150"/>
      <c r="K37" s="150"/>
      <c r="L37" s="150"/>
      <c r="M37" s="150"/>
      <c r="N37" s="161"/>
      <c r="O37" s="168"/>
      <c r="P37" s="155"/>
      <c r="Q37" s="58"/>
      <c r="R37" s="68"/>
      <c r="S37" s="140"/>
    </row>
    <row r="38" spans="2:19">
      <c r="B38" s="141" t="s">
        <v>49</v>
      </c>
      <c r="C38" s="142"/>
      <c r="D38" s="10"/>
      <c r="E38" s="10"/>
      <c r="F38" s="10" t="s">
        <v>47</v>
      </c>
      <c r="G38" s="121"/>
      <c r="H38" s="37"/>
      <c r="I38" s="151"/>
      <c r="J38" s="151"/>
      <c r="K38" s="151"/>
      <c r="L38" s="151"/>
      <c r="M38" s="151"/>
      <c r="N38" s="162"/>
      <c r="O38" s="157"/>
      <c r="P38" s="156"/>
      <c r="Q38" s="59"/>
      <c r="R38" s="69"/>
      <c r="S38" s="143"/>
    </row>
    <row r="39" spans="2:19">
      <c r="B39" s="141" t="s">
        <v>50</v>
      </c>
      <c r="C39" s="142"/>
      <c r="D39" s="10"/>
      <c r="E39" s="10"/>
      <c r="F39" s="10" t="s">
        <v>68</v>
      </c>
      <c r="G39" s="121"/>
      <c r="H39" s="37"/>
      <c r="I39" s="151"/>
      <c r="J39" s="151"/>
      <c r="K39" s="151"/>
      <c r="L39" s="151"/>
      <c r="M39" s="151"/>
      <c r="N39" s="162"/>
      <c r="O39" s="157"/>
      <c r="P39" s="156"/>
      <c r="Q39" s="59"/>
      <c r="R39" s="69"/>
      <c r="S39" s="143"/>
    </row>
    <row r="40" spans="2:19">
      <c r="B40" s="141" t="s">
        <v>51</v>
      </c>
      <c r="C40" s="142"/>
      <c r="D40" s="10"/>
      <c r="E40" s="10"/>
      <c r="F40" s="10" t="s">
        <v>48</v>
      </c>
      <c r="G40" s="121"/>
      <c r="H40" s="37"/>
      <c r="I40" s="151"/>
      <c r="J40" s="151"/>
      <c r="K40" s="151"/>
      <c r="L40" s="151"/>
      <c r="M40" s="151"/>
      <c r="N40" s="162"/>
      <c r="O40" s="157"/>
      <c r="P40" s="156"/>
      <c r="Q40" s="59"/>
      <c r="R40" s="69"/>
      <c r="S40" s="143"/>
    </row>
    <row r="41" spans="2:19">
      <c r="B41" s="141" t="s">
        <v>27</v>
      </c>
      <c r="C41" s="142"/>
      <c r="D41" s="10"/>
      <c r="E41" s="18" t="s">
        <v>71</v>
      </c>
      <c r="F41" s="10"/>
      <c r="G41" s="121"/>
      <c r="H41" s="43"/>
      <c r="I41" s="150"/>
      <c r="J41" s="150"/>
      <c r="K41" s="150"/>
      <c r="L41" s="150"/>
      <c r="M41" s="150"/>
      <c r="N41" s="161"/>
      <c r="O41" s="168"/>
      <c r="P41" s="155"/>
      <c r="Q41" s="58"/>
      <c r="R41" s="68"/>
      <c r="S41" s="140"/>
    </row>
    <row r="42" spans="2:19">
      <c r="B42" s="141" t="s">
        <v>53</v>
      </c>
      <c r="C42" s="142"/>
      <c r="D42" s="10"/>
      <c r="E42" s="10"/>
      <c r="F42" s="10" t="s">
        <v>69</v>
      </c>
      <c r="G42" s="121"/>
      <c r="H42" s="37"/>
      <c r="I42" s="151"/>
      <c r="J42" s="151"/>
      <c r="K42" s="151"/>
      <c r="L42" s="151"/>
      <c r="M42" s="151"/>
      <c r="N42" s="162"/>
      <c r="O42" s="157"/>
      <c r="P42" s="156"/>
      <c r="Q42" s="59"/>
      <c r="R42" s="69"/>
      <c r="S42" s="143"/>
    </row>
    <row r="43" spans="2:19">
      <c r="B43" s="141" t="s">
        <v>52</v>
      </c>
      <c r="C43" s="142"/>
      <c r="D43" s="10"/>
      <c r="E43" s="10"/>
      <c r="F43" s="10" t="s">
        <v>73</v>
      </c>
      <c r="G43" s="121"/>
      <c r="H43" s="37"/>
      <c r="I43" s="151"/>
      <c r="J43" s="151"/>
      <c r="K43" s="151"/>
      <c r="L43" s="151"/>
      <c r="M43" s="151"/>
      <c r="N43" s="162"/>
      <c r="O43" s="157"/>
      <c r="P43" s="156"/>
      <c r="Q43" s="59"/>
      <c r="R43" s="69"/>
      <c r="S43" s="143"/>
    </row>
    <row r="44" spans="2:19">
      <c r="B44" s="141" t="s">
        <v>72</v>
      </c>
      <c r="C44" s="142"/>
      <c r="D44" s="10"/>
      <c r="E44" s="10"/>
      <c r="F44" s="10" t="s">
        <v>70</v>
      </c>
      <c r="G44" s="121"/>
      <c r="H44" s="37"/>
      <c r="I44" s="151"/>
      <c r="J44" s="151"/>
      <c r="K44" s="151"/>
      <c r="L44" s="151"/>
      <c r="M44" s="151"/>
      <c r="N44" s="162"/>
      <c r="O44" s="157"/>
      <c r="P44" s="156"/>
      <c r="Q44" s="59"/>
      <c r="R44" s="69"/>
      <c r="S44" s="143"/>
    </row>
    <row r="45" spans="2:19">
      <c r="B45" s="138" t="s">
        <v>60</v>
      </c>
      <c r="C45" s="139"/>
      <c r="D45" s="131" t="s">
        <v>4</v>
      </c>
      <c r="E45" s="133"/>
      <c r="F45" s="133"/>
      <c r="G45" s="132"/>
      <c r="H45" s="43"/>
      <c r="I45" s="150"/>
      <c r="J45" s="150"/>
      <c r="K45" s="150"/>
      <c r="L45" s="150"/>
      <c r="M45" s="150"/>
      <c r="N45" s="161"/>
      <c r="O45" s="168"/>
      <c r="P45" s="155"/>
      <c r="Q45" s="58"/>
      <c r="R45" s="68"/>
      <c r="S45" s="140"/>
    </row>
    <row r="46" spans="2:19">
      <c r="B46" s="141" t="s">
        <v>28</v>
      </c>
      <c r="C46" s="142"/>
      <c r="D46" s="10"/>
      <c r="E46" s="18" t="s">
        <v>7</v>
      </c>
      <c r="F46" s="10"/>
      <c r="G46" s="121"/>
      <c r="H46" s="37"/>
      <c r="I46" s="151"/>
      <c r="J46" s="151"/>
      <c r="K46" s="151"/>
      <c r="L46" s="151"/>
      <c r="M46" s="151"/>
      <c r="N46" s="162"/>
      <c r="O46" s="157"/>
      <c r="P46" s="156"/>
      <c r="Q46" s="59"/>
      <c r="R46" s="69"/>
      <c r="S46" s="143"/>
    </row>
    <row r="47" spans="2:19">
      <c r="B47" s="141" t="s">
        <v>29</v>
      </c>
      <c r="C47" s="142"/>
      <c r="D47" s="10"/>
      <c r="E47" s="18" t="s">
        <v>8</v>
      </c>
      <c r="F47" s="10"/>
      <c r="G47" s="121"/>
      <c r="H47" s="37"/>
      <c r="I47" s="151"/>
      <c r="J47" s="151"/>
      <c r="K47" s="151"/>
      <c r="L47" s="151"/>
      <c r="M47" s="151"/>
      <c r="N47" s="162"/>
      <c r="O47" s="157"/>
      <c r="P47" s="156"/>
      <c r="Q47" s="59"/>
      <c r="R47" s="69"/>
      <c r="S47" s="143"/>
    </row>
    <row r="48" spans="2:19">
      <c r="B48" s="141" t="s">
        <v>30</v>
      </c>
      <c r="C48" s="142"/>
      <c r="D48" s="10"/>
      <c r="E48" s="18" t="s">
        <v>5</v>
      </c>
      <c r="F48" s="10"/>
      <c r="G48" s="121"/>
      <c r="H48" s="37"/>
      <c r="I48" s="151"/>
      <c r="J48" s="151"/>
      <c r="K48" s="151"/>
      <c r="L48" s="151"/>
      <c r="M48" s="151"/>
      <c r="N48" s="162"/>
      <c r="O48" s="157"/>
      <c r="P48" s="156"/>
      <c r="Q48" s="59"/>
      <c r="R48" s="69"/>
      <c r="S48" s="143"/>
    </row>
    <row r="49" spans="2:20">
      <c r="B49" s="141" t="s">
        <v>31</v>
      </c>
      <c r="C49" s="142"/>
      <c r="D49" s="10"/>
      <c r="E49" s="18" t="s">
        <v>18</v>
      </c>
      <c r="F49" s="10"/>
      <c r="G49" s="121"/>
      <c r="H49" s="157"/>
      <c r="I49" s="151"/>
      <c r="J49" s="151"/>
      <c r="K49" s="151"/>
      <c r="L49" s="151"/>
      <c r="M49" s="151"/>
      <c r="N49" s="162"/>
      <c r="O49" s="157"/>
      <c r="P49" s="156"/>
      <c r="Q49" s="148"/>
      <c r="R49" s="69"/>
      <c r="S49" s="143"/>
    </row>
    <row r="50" spans="2:20">
      <c r="B50" s="138" t="s">
        <v>61</v>
      </c>
      <c r="C50" s="139"/>
      <c r="D50" s="131" t="s">
        <v>11</v>
      </c>
      <c r="E50" s="133"/>
      <c r="F50" s="133"/>
      <c r="G50" s="132"/>
      <c r="H50" s="43"/>
      <c r="I50" s="150"/>
      <c r="J50" s="150"/>
      <c r="K50" s="150"/>
      <c r="L50" s="150"/>
      <c r="M50" s="150"/>
      <c r="N50" s="161"/>
      <c r="O50" s="168"/>
      <c r="P50" s="155"/>
      <c r="Q50" s="58"/>
      <c r="R50" s="68"/>
      <c r="S50" s="140"/>
    </row>
    <row r="51" spans="2:20">
      <c r="B51" s="141" t="s">
        <v>22</v>
      </c>
      <c r="C51" s="142"/>
      <c r="D51" s="10"/>
      <c r="E51" s="18" t="s">
        <v>11</v>
      </c>
      <c r="F51" s="10"/>
      <c r="G51" s="121"/>
      <c r="H51" s="37"/>
      <c r="I51" s="151"/>
      <c r="J51" s="151"/>
      <c r="K51" s="151"/>
      <c r="L51" s="151"/>
      <c r="M51" s="151"/>
      <c r="N51" s="162"/>
      <c r="O51" s="157"/>
      <c r="P51" s="156"/>
      <c r="Q51" s="59"/>
      <c r="R51" s="69"/>
      <c r="S51" s="143"/>
    </row>
    <row r="52" spans="2:20">
      <c r="B52" s="141" t="s">
        <v>62</v>
      </c>
      <c r="C52" s="142"/>
      <c r="D52" s="10"/>
      <c r="E52" s="18" t="s">
        <v>63</v>
      </c>
      <c r="F52" s="10"/>
      <c r="G52" s="121"/>
      <c r="H52" s="37"/>
      <c r="I52" s="151"/>
      <c r="J52" s="151"/>
      <c r="K52" s="151"/>
      <c r="L52" s="151"/>
      <c r="M52" s="151"/>
      <c r="N52" s="162"/>
      <c r="O52" s="157"/>
      <c r="P52" s="156"/>
      <c r="Q52" s="59"/>
      <c r="R52" s="69"/>
      <c r="S52" s="143"/>
    </row>
    <row r="53" spans="2:20">
      <c r="B53" s="138" t="s">
        <v>23</v>
      </c>
      <c r="C53" s="139"/>
      <c r="D53" s="131" t="s">
        <v>12</v>
      </c>
      <c r="E53" s="133"/>
      <c r="F53" s="133"/>
      <c r="G53" s="132"/>
      <c r="H53" s="43"/>
      <c r="I53" s="150"/>
      <c r="J53" s="150"/>
      <c r="K53" s="150"/>
      <c r="L53" s="150"/>
      <c r="M53" s="150"/>
      <c r="N53" s="161"/>
      <c r="O53" s="168"/>
      <c r="P53" s="155"/>
      <c r="Q53" s="58"/>
      <c r="R53" s="68"/>
      <c r="S53" s="140"/>
    </row>
    <row r="54" spans="2:20">
      <c r="B54" s="141" t="s">
        <v>23</v>
      </c>
      <c r="C54" s="142"/>
      <c r="D54" s="10"/>
      <c r="E54" s="18" t="s">
        <v>12</v>
      </c>
      <c r="F54" s="10"/>
      <c r="G54" s="121"/>
      <c r="H54" s="37"/>
      <c r="I54" s="151"/>
      <c r="J54" s="151"/>
      <c r="K54" s="151"/>
      <c r="L54" s="151"/>
      <c r="M54" s="151"/>
      <c r="N54" s="162"/>
      <c r="O54" s="157"/>
      <c r="P54" s="156"/>
      <c r="Q54" s="59"/>
      <c r="R54" s="69"/>
      <c r="S54" s="143"/>
      <c r="T54" s="4"/>
    </row>
    <row r="55" spans="2:20">
      <c r="B55" s="138"/>
      <c r="C55" s="139"/>
      <c r="D55" s="131" t="s">
        <v>74</v>
      </c>
      <c r="E55" s="133"/>
      <c r="F55" s="133"/>
      <c r="G55" s="132"/>
      <c r="H55" s="43"/>
      <c r="I55" s="150"/>
      <c r="J55" s="150"/>
      <c r="K55" s="150"/>
      <c r="L55" s="150"/>
      <c r="M55" s="150"/>
      <c r="N55" s="161"/>
      <c r="O55" s="168"/>
      <c r="P55" s="155"/>
      <c r="Q55" s="58"/>
      <c r="R55" s="68"/>
      <c r="S55" s="140"/>
    </row>
    <row r="56" spans="2:20">
      <c r="B56" s="141" t="s">
        <v>24</v>
      </c>
      <c r="C56" s="142"/>
      <c r="D56" s="18" t="s">
        <v>41</v>
      </c>
      <c r="E56" s="10"/>
      <c r="F56" s="10"/>
      <c r="G56" s="121"/>
      <c r="H56" s="43"/>
      <c r="I56" s="150"/>
      <c r="J56" s="150"/>
      <c r="K56" s="150"/>
      <c r="L56" s="150"/>
      <c r="M56" s="150"/>
      <c r="N56" s="161"/>
      <c r="O56" s="168"/>
      <c r="P56" s="155"/>
      <c r="Q56" s="58"/>
      <c r="R56" s="68"/>
      <c r="S56" s="140"/>
    </row>
    <row r="57" spans="2:20">
      <c r="B57" s="141" t="s">
        <v>37</v>
      </c>
      <c r="C57" s="142"/>
      <c r="D57" s="10"/>
      <c r="E57" s="10" t="s">
        <v>13</v>
      </c>
      <c r="F57" s="10"/>
      <c r="G57" s="121"/>
      <c r="H57" s="37"/>
      <c r="I57" s="151"/>
      <c r="J57" s="151"/>
      <c r="K57" s="151"/>
      <c r="L57" s="151"/>
      <c r="M57" s="151"/>
      <c r="N57" s="162"/>
      <c r="O57" s="157"/>
      <c r="P57" s="156"/>
      <c r="Q57" s="59"/>
      <c r="R57" s="69"/>
      <c r="S57" s="143"/>
    </row>
    <row r="58" spans="2:20">
      <c r="B58" s="141" t="s">
        <v>38</v>
      </c>
      <c r="C58" s="142"/>
      <c r="D58" s="10"/>
      <c r="E58" s="10" t="s">
        <v>14</v>
      </c>
      <c r="F58" s="10"/>
      <c r="G58" s="121"/>
      <c r="H58" s="37"/>
      <c r="I58" s="151"/>
      <c r="J58" s="151"/>
      <c r="K58" s="151"/>
      <c r="L58" s="151"/>
      <c r="M58" s="151"/>
      <c r="N58" s="162"/>
      <c r="O58" s="157"/>
      <c r="P58" s="156"/>
      <c r="Q58" s="59"/>
      <c r="R58" s="69"/>
      <c r="S58" s="143"/>
    </row>
    <row r="59" spans="2:20">
      <c r="B59" s="141" t="s">
        <v>39</v>
      </c>
      <c r="C59" s="142"/>
      <c r="D59" s="10"/>
      <c r="E59" s="10" t="s">
        <v>40</v>
      </c>
      <c r="F59" s="10"/>
      <c r="G59" s="121"/>
      <c r="H59" s="37"/>
      <c r="I59" s="151"/>
      <c r="J59" s="151"/>
      <c r="K59" s="151"/>
      <c r="L59" s="151"/>
      <c r="M59" s="151"/>
      <c r="N59" s="162"/>
      <c r="O59" s="157"/>
      <c r="P59" s="156"/>
      <c r="Q59" s="59"/>
      <c r="R59" s="69"/>
      <c r="S59" s="143"/>
    </row>
    <row r="60" spans="2:20">
      <c r="B60" s="141" t="s">
        <v>75</v>
      </c>
      <c r="C60" s="142"/>
      <c r="D60" s="18" t="s">
        <v>66</v>
      </c>
      <c r="E60" s="10"/>
      <c r="F60" s="10"/>
      <c r="G60" s="121"/>
      <c r="H60" s="43"/>
      <c r="I60" s="150"/>
      <c r="J60" s="150"/>
      <c r="K60" s="150"/>
      <c r="L60" s="150"/>
      <c r="M60" s="150"/>
      <c r="N60" s="161"/>
      <c r="O60" s="168"/>
      <c r="P60" s="155"/>
      <c r="Q60" s="58"/>
      <c r="R60" s="68"/>
      <c r="S60" s="140"/>
    </row>
    <row r="61" spans="2:20">
      <c r="B61" s="141" t="s">
        <v>32</v>
      </c>
      <c r="C61" s="142"/>
      <c r="D61" s="10"/>
      <c r="E61" s="10" t="s">
        <v>19</v>
      </c>
      <c r="F61" s="10"/>
      <c r="G61" s="121"/>
      <c r="H61" s="81"/>
      <c r="I61" s="152"/>
      <c r="J61" s="152"/>
      <c r="K61" s="152"/>
      <c r="L61" s="152"/>
      <c r="M61" s="152"/>
      <c r="N61" s="163"/>
      <c r="O61" s="169"/>
      <c r="P61" s="158"/>
      <c r="Q61" s="72"/>
      <c r="R61" s="74"/>
      <c r="S61" s="144"/>
    </row>
    <row r="62" spans="2:20">
      <c r="B62" s="141" t="s">
        <v>64</v>
      </c>
      <c r="C62" s="142"/>
      <c r="D62" s="10"/>
      <c r="E62" s="10" t="s">
        <v>6</v>
      </c>
      <c r="F62" s="10"/>
      <c r="G62" s="121"/>
      <c r="H62" s="37"/>
      <c r="I62" s="151"/>
      <c r="J62" s="151"/>
      <c r="K62" s="151"/>
      <c r="L62" s="151"/>
      <c r="M62" s="151"/>
      <c r="N62" s="162"/>
      <c r="O62" s="157"/>
      <c r="P62" s="156"/>
      <c r="Q62" s="72"/>
      <c r="R62" s="74"/>
      <c r="S62" s="144"/>
    </row>
    <row r="63" spans="2:20" ht="13.5" thickBot="1">
      <c r="B63" s="145" t="s">
        <v>65</v>
      </c>
      <c r="C63" s="146"/>
      <c r="D63" s="11"/>
      <c r="E63" s="11" t="s">
        <v>115</v>
      </c>
      <c r="F63" s="11"/>
      <c r="G63" s="122"/>
      <c r="H63" s="40"/>
      <c r="I63" s="153"/>
      <c r="J63" s="153"/>
      <c r="K63" s="153"/>
      <c r="L63" s="153"/>
      <c r="M63" s="153"/>
      <c r="N63" s="164"/>
      <c r="O63" s="170"/>
      <c r="P63" s="159"/>
      <c r="Q63" s="75"/>
      <c r="R63" s="77"/>
      <c r="S63" s="147"/>
    </row>
    <row r="64" spans="2:20"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E43"/>
  <sheetViews>
    <sheetView topLeftCell="D1" zoomScale="90" zoomScaleNormal="90" workbookViewId="0">
      <selection activeCell="K6" sqref="K6"/>
    </sheetView>
  </sheetViews>
  <sheetFormatPr defaultRowHeight="12.75"/>
  <cols>
    <col min="1" max="2" width="9.140625" style="2"/>
    <col min="3" max="3" width="7" style="2" customWidth="1"/>
    <col min="4" max="4" width="10.7109375" style="2" customWidth="1"/>
    <col min="5" max="5" width="48.7109375" style="2" customWidth="1"/>
    <col min="6" max="6" width="10.85546875" style="2" customWidth="1"/>
    <col min="7" max="7" width="13.140625" style="2" customWidth="1"/>
    <col min="8" max="15" width="10.85546875" style="2" customWidth="1"/>
    <col min="16" max="16" width="2" style="2" customWidth="1"/>
    <col min="17" max="18" width="10.85546875" style="2" customWidth="1"/>
    <col min="19" max="19" width="2.7109375" style="2" customWidth="1"/>
    <col min="20" max="22" width="12.7109375" style="2" customWidth="1"/>
    <col min="23" max="23" width="2.42578125" style="2" customWidth="1"/>
    <col min="24" max="26" width="12.7109375" style="2" customWidth="1"/>
    <col min="27" max="27" width="1.42578125" style="2" customWidth="1"/>
    <col min="28" max="28" width="11.5703125" style="2" customWidth="1"/>
    <col min="29" max="29" width="10.85546875" style="2" customWidth="1"/>
    <col min="30" max="30" width="2.85546875" style="2" customWidth="1"/>
    <col min="31" max="31" width="14.140625" style="2" customWidth="1"/>
    <col min="32" max="16384" width="9.140625" style="2"/>
  </cols>
  <sheetData>
    <row r="1" spans="2:31" ht="31.5" customHeight="1" thickBot="1">
      <c r="F1" s="569" t="s">
        <v>93</v>
      </c>
      <c r="G1" s="570"/>
      <c r="H1" s="570"/>
      <c r="I1" s="570"/>
      <c r="J1" s="570"/>
      <c r="K1" s="570"/>
      <c r="L1" s="570"/>
      <c r="M1" s="570"/>
      <c r="N1" s="570"/>
      <c r="O1" s="570"/>
      <c r="Q1" s="569" t="s">
        <v>92</v>
      </c>
      <c r="R1" s="570"/>
      <c r="S1" s="5"/>
      <c r="T1" s="571" t="s">
        <v>104</v>
      </c>
      <c r="U1" s="571"/>
      <c r="V1" s="571"/>
      <c r="W1" s="5"/>
      <c r="X1" s="572" t="s">
        <v>117</v>
      </c>
      <c r="Y1" s="572"/>
      <c r="Z1" s="572"/>
      <c r="AA1" s="5"/>
      <c r="AB1" s="573" t="s">
        <v>91</v>
      </c>
      <c r="AC1" s="574"/>
    </row>
    <row r="2" spans="2:31" s="13" customFormat="1" ht="51.75" thickBot="1">
      <c r="B2" s="22" t="s">
        <v>76</v>
      </c>
      <c r="C2" s="23" t="s">
        <v>2</v>
      </c>
      <c r="D2" s="23" t="s">
        <v>3</v>
      </c>
      <c r="E2" s="24" t="s">
        <v>67</v>
      </c>
      <c r="F2" s="25" t="s">
        <v>80</v>
      </c>
      <c r="G2" s="25" t="s">
        <v>79</v>
      </c>
      <c r="H2" s="25" t="s">
        <v>78</v>
      </c>
      <c r="I2" s="25" t="s">
        <v>83</v>
      </c>
      <c r="J2" s="25" t="s">
        <v>82</v>
      </c>
      <c r="K2" s="25" t="s">
        <v>84</v>
      </c>
      <c r="L2" s="25" t="s">
        <v>85</v>
      </c>
      <c r="M2" s="25" t="s">
        <v>87</v>
      </c>
      <c r="N2" s="25" t="s">
        <v>206</v>
      </c>
      <c r="O2" s="26" t="s">
        <v>207</v>
      </c>
      <c r="P2" s="21"/>
      <c r="Q2" s="27" t="s">
        <v>89</v>
      </c>
      <c r="R2" s="26" t="s">
        <v>90</v>
      </c>
      <c r="S2" s="21"/>
      <c r="T2" s="26" t="s">
        <v>107</v>
      </c>
      <c r="U2" s="26" t="s">
        <v>105</v>
      </c>
      <c r="V2" s="26" t="s">
        <v>106</v>
      </c>
      <c r="W2" s="21"/>
      <c r="X2" s="26" t="s">
        <v>107</v>
      </c>
      <c r="Y2" s="26" t="s">
        <v>105</v>
      </c>
      <c r="Z2" s="26" t="s">
        <v>106</v>
      </c>
      <c r="AA2" s="21"/>
      <c r="AB2" s="27" t="s">
        <v>77</v>
      </c>
      <c r="AC2" s="26" t="s">
        <v>81</v>
      </c>
      <c r="AE2" s="27" t="s">
        <v>118</v>
      </c>
    </row>
    <row r="3" spans="2:31" s="13" customFormat="1" ht="14.25" customHeight="1" thickBot="1">
      <c r="B3" s="29"/>
      <c r="C3" s="29"/>
      <c r="D3" s="29"/>
      <c r="E3" s="29"/>
      <c r="F3" s="30" t="s">
        <v>103</v>
      </c>
      <c r="G3" s="30" t="s">
        <v>103</v>
      </c>
      <c r="H3" s="30" t="s">
        <v>103</v>
      </c>
      <c r="I3" s="30" t="s">
        <v>103</v>
      </c>
      <c r="J3" s="30" t="s">
        <v>103</v>
      </c>
      <c r="K3" s="30" t="s">
        <v>103</v>
      </c>
      <c r="L3" s="30" t="s">
        <v>103</v>
      </c>
      <c r="M3" s="30" t="s">
        <v>103</v>
      </c>
      <c r="N3" s="30" t="s">
        <v>103</v>
      </c>
      <c r="O3" s="30" t="s">
        <v>103</v>
      </c>
      <c r="Q3" s="30" t="s">
        <v>103</v>
      </c>
      <c r="R3" s="30" t="s">
        <v>103</v>
      </c>
      <c r="T3" s="28" t="s">
        <v>88</v>
      </c>
      <c r="U3" s="28" t="s">
        <v>88</v>
      </c>
      <c r="V3" s="28" t="s">
        <v>88</v>
      </c>
      <c r="X3" s="28" t="s">
        <v>88</v>
      </c>
      <c r="Y3" s="28" t="s">
        <v>88</v>
      </c>
      <c r="Z3" s="28" t="s">
        <v>88</v>
      </c>
      <c r="AB3" s="30" t="s">
        <v>103</v>
      </c>
      <c r="AC3" s="30" t="s">
        <v>103</v>
      </c>
      <c r="AE3" s="30" t="s">
        <v>103</v>
      </c>
    </row>
    <row r="4" spans="2:31">
      <c r="B4" s="15" t="s">
        <v>57</v>
      </c>
      <c r="C4" s="16" t="s">
        <v>58</v>
      </c>
      <c r="D4" s="17"/>
      <c r="E4" s="17"/>
      <c r="F4" s="31"/>
      <c r="G4" s="31"/>
      <c r="H4" s="31"/>
      <c r="I4" s="31"/>
      <c r="J4" s="31"/>
      <c r="K4" s="31"/>
      <c r="L4" s="31"/>
      <c r="M4" s="31"/>
      <c r="N4" s="31"/>
      <c r="O4" s="32"/>
      <c r="P4" s="33"/>
      <c r="Q4" s="34"/>
      <c r="R4" s="32"/>
      <c r="S4" s="33"/>
      <c r="T4" s="57"/>
      <c r="U4" s="65"/>
      <c r="V4" s="66"/>
      <c r="W4" s="33"/>
      <c r="X4" s="57"/>
      <c r="Y4" s="65"/>
      <c r="Z4" s="66"/>
      <c r="AA4" s="33"/>
      <c r="AB4" s="34"/>
      <c r="AC4" s="32"/>
      <c r="AD4" s="45"/>
      <c r="AE4" s="45">
        <v>0</v>
      </c>
    </row>
    <row r="5" spans="2:31">
      <c r="B5" s="7" t="s">
        <v>20</v>
      </c>
      <c r="C5" s="1"/>
      <c r="D5" s="18" t="s">
        <v>0</v>
      </c>
      <c r="E5" s="10"/>
      <c r="F5" s="41"/>
      <c r="G5" s="41"/>
      <c r="H5" s="41"/>
      <c r="I5" s="41"/>
      <c r="J5" s="41"/>
      <c r="K5" s="41"/>
      <c r="L5" s="41"/>
      <c r="M5" s="41"/>
      <c r="N5" s="41"/>
      <c r="O5" s="42"/>
      <c r="P5" s="33"/>
      <c r="Q5" s="43"/>
      <c r="R5" s="42"/>
      <c r="S5" s="33"/>
      <c r="T5" s="58"/>
      <c r="U5" s="67"/>
      <c r="V5" s="68"/>
      <c r="W5" s="33"/>
      <c r="X5" s="58"/>
      <c r="Y5" s="67"/>
      <c r="Z5" s="68"/>
      <c r="AA5" s="33"/>
      <c r="AB5" s="43"/>
      <c r="AC5" s="42"/>
      <c r="AD5" s="45"/>
      <c r="AE5" s="45">
        <v>0</v>
      </c>
    </row>
    <row r="6" spans="2:31">
      <c r="B6" s="7" t="s">
        <v>33</v>
      </c>
      <c r="C6" s="1"/>
      <c r="D6" s="10"/>
      <c r="E6" s="10" t="s">
        <v>9</v>
      </c>
      <c r="F6" s="35">
        <f>IFERROR(VLOOKUP(F2,#REF!,14,FALSE),0)</f>
        <v>0</v>
      </c>
      <c r="G6" s="35">
        <f>IFERROR(VLOOKUP(G2,#REF!,14,FALSE),0)</f>
        <v>0</v>
      </c>
      <c r="H6" s="35">
        <f>IFERROR(VLOOKUP(H2,#REF!,14,FALSE),0)</f>
        <v>0</v>
      </c>
      <c r="I6" s="35">
        <f>IFERROR(VLOOKUP(I2,#REF!,14,FALSE),0)</f>
        <v>0</v>
      </c>
      <c r="J6" s="35">
        <f>IFERROR(VLOOKUP(J2,#REF!,14,FALSE),0)</f>
        <v>0</v>
      </c>
      <c r="K6" s="35">
        <f>IFERROR(VLOOKUP(K2,#REF!,14,FALSE),0)</f>
        <v>0</v>
      </c>
      <c r="L6" s="35">
        <f>IFERROR(VLOOKUP(L2,#REF!,14,FALSE),0)</f>
        <v>0</v>
      </c>
      <c r="M6" s="35">
        <f>IFERROR(VLOOKUP(M2,#REF!,14,FALSE),0)</f>
        <v>0</v>
      </c>
      <c r="N6" s="35">
        <f>IFERROR(VLOOKUP(N2,#REF!,14,FALSE),0)</f>
        <v>0</v>
      </c>
      <c r="O6" s="35">
        <f>IFERROR(VLOOKUP(O2,#REF!,14,FALSE),0)</f>
        <v>0</v>
      </c>
      <c r="P6" s="33"/>
      <c r="Q6" s="37">
        <f>IFERROR(VLOOKUP(Q2,#REF!,14,FALSE),0)</f>
        <v>0</v>
      </c>
      <c r="R6" s="36">
        <f>IFERROR(VLOOKUP(R2,#REF!,14,FALSE),0)</f>
        <v>0</v>
      </c>
      <c r="S6" s="33"/>
      <c r="T6" s="59"/>
      <c r="U6" s="64"/>
      <c r="V6" s="69"/>
      <c r="W6" s="33"/>
      <c r="X6" s="59"/>
      <c r="Y6" s="64"/>
      <c r="Z6" s="69"/>
      <c r="AA6" s="33"/>
      <c r="AB6" s="37"/>
      <c r="AC6" s="36"/>
      <c r="AD6" s="45"/>
      <c r="AE6" s="45">
        <v>0</v>
      </c>
    </row>
    <row r="7" spans="2:31">
      <c r="B7" s="7" t="s">
        <v>34</v>
      </c>
      <c r="C7" s="1"/>
      <c r="D7" s="10"/>
      <c r="E7" s="10" t="s">
        <v>10</v>
      </c>
      <c r="F7" s="35"/>
      <c r="G7" s="35"/>
      <c r="H7" s="35"/>
      <c r="I7" s="35"/>
      <c r="J7" s="35"/>
      <c r="K7" s="35"/>
      <c r="L7" s="35"/>
      <c r="M7" s="35"/>
      <c r="N7" s="35"/>
      <c r="O7" s="36"/>
      <c r="P7" s="33"/>
      <c r="Q7" s="37"/>
      <c r="R7" s="36"/>
      <c r="S7" s="33"/>
      <c r="T7" s="59"/>
      <c r="U7" s="64"/>
      <c r="V7" s="69"/>
      <c r="W7" s="33"/>
      <c r="X7" s="59"/>
      <c r="Y7" s="64"/>
      <c r="Z7" s="69"/>
      <c r="AA7" s="33"/>
      <c r="AB7" s="37"/>
      <c r="AC7" s="36"/>
      <c r="AD7" s="45"/>
      <c r="AE7" s="45">
        <v>0</v>
      </c>
    </row>
    <row r="8" spans="2:31">
      <c r="B8" s="7" t="s">
        <v>21</v>
      </c>
      <c r="C8" s="1"/>
      <c r="D8" s="18" t="s">
        <v>54</v>
      </c>
      <c r="E8" s="10"/>
      <c r="F8" s="41"/>
      <c r="G8" s="41"/>
      <c r="H8" s="41"/>
      <c r="I8" s="41"/>
      <c r="J8" s="41"/>
      <c r="K8" s="41"/>
      <c r="L8" s="41"/>
      <c r="M8" s="41"/>
      <c r="N8" s="41"/>
      <c r="O8" s="42"/>
      <c r="P8" s="33"/>
      <c r="Q8" s="43"/>
      <c r="R8" s="42"/>
      <c r="S8" s="33"/>
      <c r="T8" s="58"/>
      <c r="U8" s="67"/>
      <c r="V8" s="68"/>
      <c r="W8" s="33"/>
      <c r="X8" s="58"/>
      <c r="Y8" s="67"/>
      <c r="Z8" s="68"/>
      <c r="AA8" s="33"/>
      <c r="AB8" s="43"/>
      <c r="AC8" s="42"/>
      <c r="AD8" s="45"/>
      <c r="AE8" s="45">
        <v>0</v>
      </c>
    </row>
    <row r="9" spans="2:31">
      <c r="B9" s="7" t="s">
        <v>35</v>
      </c>
      <c r="C9" s="1"/>
      <c r="D9" s="10"/>
      <c r="E9" s="10" t="s">
        <v>55</v>
      </c>
      <c r="F9" s="35"/>
      <c r="G9" s="35"/>
      <c r="H9" s="35"/>
      <c r="I9" s="35"/>
      <c r="J9" s="35"/>
      <c r="K9" s="35"/>
      <c r="L9" s="35"/>
      <c r="M9" s="35"/>
      <c r="N9" s="35"/>
      <c r="O9" s="36"/>
      <c r="P9" s="33"/>
      <c r="Q9" s="37"/>
      <c r="R9" s="36"/>
      <c r="S9" s="33"/>
      <c r="T9" s="59"/>
      <c r="U9" s="64"/>
      <c r="V9" s="69"/>
      <c r="W9" s="33"/>
      <c r="X9" s="59"/>
      <c r="Y9" s="64"/>
      <c r="Z9" s="69"/>
      <c r="AA9" s="33"/>
      <c r="AB9" s="37"/>
      <c r="AC9" s="36"/>
      <c r="AD9" s="45"/>
      <c r="AE9" s="45">
        <v>0</v>
      </c>
    </row>
    <row r="10" spans="2:31">
      <c r="B10" s="7" t="s">
        <v>36</v>
      </c>
      <c r="C10" s="1"/>
      <c r="D10" s="10"/>
      <c r="E10" s="10" t="s">
        <v>56</v>
      </c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3"/>
      <c r="Q10" s="37"/>
      <c r="R10" s="36"/>
      <c r="S10" s="33"/>
      <c r="T10" s="59"/>
      <c r="U10" s="64"/>
      <c r="V10" s="69"/>
      <c r="W10" s="33"/>
      <c r="X10" s="59"/>
      <c r="Y10" s="64"/>
      <c r="Z10" s="69"/>
      <c r="AA10" s="33"/>
      <c r="AB10" s="37"/>
      <c r="AC10" s="36"/>
      <c r="AD10" s="45"/>
      <c r="AE10" s="45">
        <v>0</v>
      </c>
    </row>
    <row r="11" spans="2:31">
      <c r="B11" s="7" t="s">
        <v>25</v>
      </c>
      <c r="C11" s="1"/>
      <c r="D11" s="18" t="s">
        <v>42</v>
      </c>
      <c r="E11" s="10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33"/>
      <c r="Q11" s="43"/>
      <c r="R11" s="42"/>
      <c r="S11" s="33"/>
      <c r="T11" s="58"/>
      <c r="U11" s="67"/>
      <c r="V11" s="68"/>
      <c r="W11" s="33"/>
      <c r="X11" s="58"/>
      <c r="Y11" s="67"/>
      <c r="Z11" s="68"/>
      <c r="AA11" s="33"/>
      <c r="AB11" s="43"/>
      <c r="AC11" s="42"/>
      <c r="AD11" s="45"/>
      <c r="AE11" s="45">
        <v>0</v>
      </c>
    </row>
    <row r="12" spans="2:31">
      <c r="B12" s="7" t="s">
        <v>43</v>
      </c>
      <c r="C12" s="1"/>
      <c r="D12" s="10"/>
      <c r="E12" s="10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3"/>
      <c r="Q12" s="37"/>
      <c r="R12" s="36"/>
      <c r="S12" s="33"/>
      <c r="T12" s="59"/>
      <c r="U12" s="64"/>
      <c r="V12" s="69"/>
      <c r="W12" s="33"/>
      <c r="X12" s="59"/>
      <c r="Y12" s="64"/>
      <c r="Z12" s="69"/>
      <c r="AA12" s="33"/>
      <c r="AB12" s="37"/>
      <c r="AC12" s="36"/>
      <c r="AD12" s="45"/>
      <c r="AE12" s="45">
        <v>0</v>
      </c>
    </row>
    <row r="13" spans="2:31">
      <c r="B13" s="7" t="s">
        <v>44</v>
      </c>
      <c r="C13" s="1"/>
      <c r="D13" s="10"/>
      <c r="E13" s="10" t="s">
        <v>17</v>
      </c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3"/>
      <c r="Q13" s="37"/>
      <c r="R13" s="36"/>
      <c r="S13" s="33"/>
      <c r="T13" s="59"/>
      <c r="U13" s="64"/>
      <c r="V13" s="69"/>
      <c r="W13" s="33"/>
      <c r="X13" s="59"/>
      <c r="Y13" s="64"/>
      <c r="Z13" s="69"/>
      <c r="AA13" s="33"/>
      <c r="AB13" s="37"/>
      <c r="AC13" s="36"/>
      <c r="AD13" s="45"/>
      <c r="AE13" s="45">
        <v>0</v>
      </c>
    </row>
    <row r="14" spans="2:31" ht="13.5" thickBot="1">
      <c r="B14" s="8" t="s">
        <v>45</v>
      </c>
      <c r="C14" s="9"/>
      <c r="D14" s="11"/>
      <c r="E14" s="11" t="s">
        <v>16</v>
      </c>
      <c r="F14" s="38"/>
      <c r="G14" s="38"/>
      <c r="H14" s="38"/>
      <c r="I14" s="38"/>
      <c r="J14" s="38"/>
      <c r="K14" s="38"/>
      <c r="L14" s="38"/>
      <c r="M14" s="38"/>
      <c r="N14" s="38"/>
      <c r="O14" s="39"/>
      <c r="P14" s="33"/>
      <c r="Q14" s="40"/>
      <c r="R14" s="39"/>
      <c r="S14" s="33"/>
      <c r="T14" s="60"/>
      <c r="U14" s="62"/>
      <c r="V14" s="70"/>
      <c r="W14" s="33"/>
      <c r="X14" s="60"/>
      <c r="Y14" s="62"/>
      <c r="Z14" s="70"/>
      <c r="AA14" s="33"/>
      <c r="AB14" s="40"/>
      <c r="AC14" s="39"/>
      <c r="AD14" s="45"/>
      <c r="AE14" s="45">
        <v>0</v>
      </c>
    </row>
    <row r="15" spans="2:31">
      <c r="B15" s="15" t="s">
        <v>59</v>
      </c>
      <c r="C15" s="16" t="s">
        <v>1</v>
      </c>
      <c r="D15" s="17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32"/>
      <c r="S15" s="33"/>
      <c r="T15" s="57"/>
      <c r="U15" s="65"/>
      <c r="V15" s="66"/>
      <c r="W15" s="33"/>
      <c r="X15" s="57"/>
      <c r="Y15" s="65"/>
      <c r="Z15" s="66"/>
      <c r="AA15" s="33"/>
      <c r="AB15" s="34"/>
      <c r="AC15" s="32"/>
      <c r="AD15" s="45"/>
      <c r="AE15" s="45">
        <v>0</v>
      </c>
    </row>
    <row r="16" spans="2:31">
      <c r="B16" s="7" t="s">
        <v>26</v>
      </c>
      <c r="C16" s="1"/>
      <c r="D16" s="18" t="s">
        <v>46</v>
      </c>
      <c r="E16" s="10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33"/>
      <c r="Q16" s="43"/>
      <c r="R16" s="42"/>
      <c r="S16" s="33"/>
      <c r="T16" s="58"/>
      <c r="U16" s="67"/>
      <c r="V16" s="68"/>
      <c r="W16" s="33"/>
      <c r="X16" s="58"/>
      <c r="Y16" s="67"/>
      <c r="Z16" s="68"/>
      <c r="AA16" s="33"/>
      <c r="AB16" s="43"/>
      <c r="AC16" s="42"/>
      <c r="AD16" s="45"/>
      <c r="AE16" s="45">
        <v>0</v>
      </c>
    </row>
    <row r="17" spans="2:31">
      <c r="B17" s="7" t="s">
        <v>49</v>
      </c>
      <c r="C17" s="1"/>
      <c r="D17" s="10"/>
      <c r="E17" s="10" t="s">
        <v>47</v>
      </c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3"/>
      <c r="Q17" s="37"/>
      <c r="R17" s="36"/>
      <c r="S17" s="33"/>
      <c r="T17" s="59"/>
      <c r="U17" s="64"/>
      <c r="V17" s="69"/>
      <c r="W17" s="33"/>
      <c r="X17" s="59"/>
      <c r="Y17" s="64"/>
      <c r="Z17" s="69"/>
      <c r="AA17" s="33"/>
      <c r="AB17" s="37"/>
      <c r="AC17" s="36"/>
      <c r="AD17" s="45"/>
      <c r="AE17" s="45">
        <v>0</v>
      </c>
    </row>
    <row r="18" spans="2:31">
      <c r="B18" s="7" t="s">
        <v>50</v>
      </c>
      <c r="C18" s="1"/>
      <c r="D18" s="10"/>
      <c r="E18" s="10" t="s">
        <v>68</v>
      </c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3"/>
      <c r="Q18" s="37"/>
      <c r="R18" s="36"/>
      <c r="S18" s="33"/>
      <c r="T18" s="59"/>
      <c r="U18" s="64"/>
      <c r="V18" s="69"/>
      <c r="W18" s="33"/>
      <c r="X18" s="59"/>
      <c r="Y18" s="64"/>
      <c r="Z18" s="69"/>
      <c r="AA18" s="33"/>
      <c r="AB18" s="37"/>
      <c r="AC18" s="36"/>
      <c r="AD18" s="45"/>
      <c r="AE18" s="45">
        <v>0</v>
      </c>
    </row>
    <row r="19" spans="2:31">
      <c r="B19" s="7" t="s">
        <v>51</v>
      </c>
      <c r="C19" s="1"/>
      <c r="D19" s="10"/>
      <c r="E19" s="10" t="s">
        <v>48</v>
      </c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3"/>
      <c r="Q19" s="37"/>
      <c r="R19" s="36"/>
      <c r="S19" s="33"/>
      <c r="T19" s="59"/>
      <c r="U19" s="64"/>
      <c r="V19" s="69"/>
      <c r="W19" s="33"/>
      <c r="X19" s="59"/>
      <c r="Y19" s="64"/>
      <c r="Z19" s="69"/>
      <c r="AA19" s="33"/>
      <c r="AB19" s="37"/>
      <c r="AC19" s="36"/>
      <c r="AD19" s="45"/>
      <c r="AE19" s="45">
        <v>0</v>
      </c>
    </row>
    <row r="20" spans="2:31">
      <c r="B20" s="7" t="s">
        <v>27</v>
      </c>
      <c r="C20" s="1"/>
      <c r="D20" s="18" t="s">
        <v>71</v>
      </c>
      <c r="E20" s="10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33"/>
      <c r="Q20" s="43"/>
      <c r="R20" s="42"/>
      <c r="S20" s="33"/>
      <c r="T20" s="58"/>
      <c r="U20" s="67"/>
      <c r="V20" s="68"/>
      <c r="W20" s="33"/>
      <c r="X20" s="58"/>
      <c r="Y20" s="67"/>
      <c r="Z20" s="68"/>
      <c r="AA20" s="33"/>
      <c r="AB20" s="43"/>
      <c r="AC20" s="42"/>
      <c r="AD20" s="45"/>
      <c r="AE20" s="45">
        <v>0</v>
      </c>
    </row>
    <row r="21" spans="2:31">
      <c r="B21" s="7" t="s">
        <v>53</v>
      </c>
      <c r="C21" s="1"/>
      <c r="D21" s="10"/>
      <c r="E21" s="10" t="s">
        <v>69</v>
      </c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3"/>
      <c r="Q21" s="37"/>
      <c r="R21" s="36"/>
      <c r="S21" s="33"/>
      <c r="T21" s="59"/>
      <c r="U21" s="64"/>
      <c r="V21" s="69"/>
      <c r="W21" s="33"/>
      <c r="X21" s="59"/>
      <c r="Y21" s="64"/>
      <c r="Z21" s="69"/>
      <c r="AA21" s="33"/>
      <c r="AB21" s="37"/>
      <c r="AC21" s="36"/>
      <c r="AD21" s="45"/>
      <c r="AE21" s="45">
        <v>0</v>
      </c>
    </row>
    <row r="22" spans="2:31">
      <c r="B22" s="7" t="s">
        <v>52</v>
      </c>
      <c r="C22" s="1"/>
      <c r="D22" s="10"/>
      <c r="E22" s="10" t="s">
        <v>73</v>
      </c>
      <c r="F22" s="35"/>
      <c r="G22" s="35"/>
      <c r="H22" s="35"/>
      <c r="I22" s="35"/>
      <c r="J22" s="35"/>
      <c r="K22" s="80"/>
      <c r="L22" s="35"/>
      <c r="M22" s="35"/>
      <c r="N22" s="35"/>
      <c r="O22" s="36"/>
      <c r="P22" s="33"/>
      <c r="Q22" s="37"/>
      <c r="R22" s="36"/>
      <c r="S22" s="33"/>
      <c r="T22" s="59"/>
      <c r="U22" s="64"/>
      <c r="V22" s="69"/>
      <c r="W22" s="33"/>
      <c r="X22" s="59"/>
      <c r="Y22" s="64"/>
      <c r="Z22" s="69"/>
      <c r="AA22" s="33"/>
      <c r="AB22" s="81"/>
      <c r="AC22" s="36"/>
      <c r="AD22" s="45"/>
      <c r="AE22" s="45">
        <v>0</v>
      </c>
    </row>
    <row r="23" spans="2:31" ht="13.5" thickBot="1">
      <c r="B23" s="8" t="s">
        <v>72</v>
      </c>
      <c r="C23" s="9"/>
      <c r="D23" s="11"/>
      <c r="E23" s="11" t="s">
        <v>70</v>
      </c>
      <c r="F23" s="38"/>
      <c r="G23" s="38"/>
      <c r="H23" s="38"/>
      <c r="I23" s="38"/>
      <c r="J23" s="38"/>
      <c r="K23" s="79"/>
      <c r="L23" s="38"/>
      <c r="M23" s="38"/>
      <c r="N23" s="38"/>
      <c r="O23" s="39"/>
      <c r="P23" s="33"/>
      <c r="Q23" s="40"/>
      <c r="R23" s="39"/>
      <c r="S23" s="33"/>
      <c r="T23" s="60"/>
      <c r="U23" s="62"/>
      <c r="V23" s="70"/>
      <c r="W23" s="33"/>
      <c r="X23" s="60"/>
      <c r="Y23" s="62"/>
      <c r="Z23" s="70"/>
      <c r="AA23" s="33"/>
      <c r="AB23" s="82"/>
      <c r="AC23" s="39"/>
      <c r="AD23" s="45"/>
      <c r="AE23" s="45">
        <v>0</v>
      </c>
    </row>
    <row r="24" spans="2:31">
      <c r="B24" s="15" t="s">
        <v>60</v>
      </c>
      <c r="C24" s="16" t="s">
        <v>4</v>
      </c>
      <c r="D24" s="17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32"/>
      <c r="S24" s="33"/>
      <c r="T24" s="57"/>
      <c r="U24" s="65"/>
      <c r="V24" s="66"/>
      <c r="W24" s="33"/>
      <c r="X24" s="57"/>
      <c r="Y24" s="65"/>
      <c r="Z24" s="66"/>
      <c r="AA24" s="33"/>
      <c r="AB24" s="34"/>
      <c r="AC24" s="32"/>
      <c r="AD24" s="45"/>
      <c r="AE24" s="45">
        <v>0</v>
      </c>
    </row>
    <row r="25" spans="2:31">
      <c r="B25" s="7" t="s">
        <v>28</v>
      </c>
      <c r="C25" s="1"/>
      <c r="D25" s="18" t="s">
        <v>7</v>
      </c>
      <c r="E25" s="10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3"/>
      <c r="Q25" s="37"/>
      <c r="R25" s="36"/>
      <c r="S25" s="33"/>
      <c r="T25" s="59"/>
      <c r="U25" s="64"/>
      <c r="V25" s="69"/>
      <c r="W25" s="33"/>
      <c r="X25" s="59"/>
      <c r="Y25" s="64"/>
      <c r="Z25" s="69"/>
      <c r="AA25" s="33"/>
      <c r="AB25" s="37"/>
      <c r="AC25" s="36"/>
      <c r="AD25" s="45"/>
      <c r="AE25" s="45">
        <v>0</v>
      </c>
    </row>
    <row r="26" spans="2:31">
      <c r="B26" s="7" t="s">
        <v>29</v>
      </c>
      <c r="C26" s="1"/>
      <c r="D26" s="18" t="s">
        <v>8</v>
      </c>
      <c r="E26" s="10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3"/>
      <c r="Q26" s="37"/>
      <c r="R26" s="36"/>
      <c r="S26" s="33"/>
      <c r="T26" s="59"/>
      <c r="U26" s="64"/>
      <c r="V26" s="69"/>
      <c r="W26" s="33"/>
      <c r="X26" s="59"/>
      <c r="Y26" s="64"/>
      <c r="Z26" s="69"/>
      <c r="AA26" s="33"/>
      <c r="AB26" s="37"/>
      <c r="AC26" s="36"/>
      <c r="AD26" s="45"/>
      <c r="AE26" s="45">
        <v>0</v>
      </c>
    </row>
    <row r="27" spans="2:31">
      <c r="B27" s="7" t="s">
        <v>30</v>
      </c>
      <c r="C27" s="1"/>
      <c r="D27" s="18" t="s">
        <v>5</v>
      </c>
      <c r="E27" s="10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3"/>
      <c r="Q27" s="37"/>
      <c r="R27" s="36"/>
      <c r="S27" s="33"/>
      <c r="T27" s="59"/>
      <c r="U27" s="64"/>
      <c r="V27" s="69"/>
      <c r="W27" s="33"/>
      <c r="X27" s="59"/>
      <c r="Y27" s="64"/>
      <c r="Z27" s="69"/>
      <c r="AA27" s="33"/>
      <c r="AB27" s="37"/>
      <c r="AC27" s="36"/>
      <c r="AD27" s="45"/>
      <c r="AE27" s="45">
        <v>0</v>
      </c>
    </row>
    <row r="28" spans="2:31" ht="13.5" thickBot="1">
      <c r="B28" s="8" t="s">
        <v>31</v>
      </c>
      <c r="C28" s="9"/>
      <c r="D28" s="19" t="s">
        <v>18</v>
      </c>
      <c r="E28" s="11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3"/>
      <c r="Q28" s="40"/>
      <c r="R28" s="39"/>
      <c r="S28" s="33"/>
      <c r="T28" s="61"/>
      <c r="U28" s="62"/>
      <c r="V28" s="70"/>
      <c r="W28" s="33"/>
      <c r="X28" s="61"/>
      <c r="Y28" s="62"/>
      <c r="Z28" s="70"/>
      <c r="AA28" s="33"/>
      <c r="AB28" s="40"/>
      <c r="AC28" s="39"/>
      <c r="AD28" s="45"/>
      <c r="AE28" s="45">
        <v>0</v>
      </c>
    </row>
    <row r="29" spans="2:31">
      <c r="B29" s="15" t="s">
        <v>61</v>
      </c>
      <c r="C29" s="16" t="s">
        <v>11</v>
      </c>
      <c r="D29" s="17"/>
      <c r="E29" s="17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32"/>
      <c r="S29" s="33"/>
      <c r="T29" s="57"/>
      <c r="U29" s="65"/>
      <c r="V29" s="66"/>
      <c r="W29" s="33"/>
      <c r="X29" s="57"/>
      <c r="Y29" s="65"/>
      <c r="Z29" s="66"/>
      <c r="AA29" s="33"/>
      <c r="AB29" s="34"/>
      <c r="AC29" s="32"/>
      <c r="AD29" s="45"/>
      <c r="AE29" s="45">
        <v>0</v>
      </c>
    </row>
    <row r="30" spans="2:31">
      <c r="B30" s="7" t="s">
        <v>22</v>
      </c>
      <c r="C30" s="1"/>
      <c r="D30" s="18" t="s">
        <v>11</v>
      </c>
      <c r="E30" s="10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3"/>
      <c r="Q30" s="37"/>
      <c r="R30" s="36"/>
      <c r="S30" s="33"/>
      <c r="T30" s="59"/>
      <c r="U30" s="64"/>
      <c r="V30" s="69"/>
      <c r="W30" s="33"/>
      <c r="X30" s="59"/>
      <c r="Y30" s="64"/>
      <c r="Z30" s="69"/>
      <c r="AA30" s="33"/>
      <c r="AB30" s="37"/>
      <c r="AC30" s="36"/>
      <c r="AD30" s="45"/>
      <c r="AE30" s="45">
        <v>0</v>
      </c>
    </row>
    <row r="31" spans="2:31" ht="13.5" thickBot="1">
      <c r="B31" s="8" t="s">
        <v>62</v>
      </c>
      <c r="C31" s="9"/>
      <c r="D31" s="19" t="s">
        <v>63</v>
      </c>
      <c r="E31" s="11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3"/>
      <c r="Q31" s="40"/>
      <c r="R31" s="39"/>
      <c r="S31" s="33"/>
      <c r="T31" s="60"/>
      <c r="U31" s="62"/>
      <c r="V31" s="70"/>
      <c r="W31" s="33"/>
      <c r="X31" s="60"/>
      <c r="Y31" s="62"/>
      <c r="Z31" s="70"/>
      <c r="AA31" s="33"/>
      <c r="AB31" s="40"/>
      <c r="AC31" s="39"/>
      <c r="AD31" s="45"/>
      <c r="AE31" s="45">
        <v>0</v>
      </c>
    </row>
    <row r="32" spans="2:31">
      <c r="B32" s="15" t="s">
        <v>23</v>
      </c>
      <c r="C32" s="16" t="s">
        <v>12</v>
      </c>
      <c r="D32" s="17"/>
      <c r="E32" s="17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32"/>
      <c r="S32" s="33"/>
      <c r="T32" s="57"/>
      <c r="U32" s="65"/>
      <c r="V32" s="66"/>
      <c r="W32" s="33"/>
      <c r="X32" s="57"/>
      <c r="Y32" s="65"/>
      <c r="Z32" s="66"/>
      <c r="AA32" s="33"/>
      <c r="AB32" s="34"/>
      <c r="AC32" s="32"/>
      <c r="AD32" s="45"/>
      <c r="AE32" s="45">
        <v>0</v>
      </c>
    </row>
    <row r="33" spans="2:31" ht="13.5" thickBot="1">
      <c r="B33" s="8" t="s">
        <v>23</v>
      </c>
      <c r="C33" s="9"/>
      <c r="D33" s="19" t="s">
        <v>12</v>
      </c>
      <c r="E33" s="11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3"/>
      <c r="Q33" s="40"/>
      <c r="R33" s="39"/>
      <c r="S33" s="33"/>
      <c r="T33" s="60"/>
      <c r="U33" s="62"/>
      <c r="V33" s="70"/>
      <c r="W33" s="33"/>
      <c r="X33" s="60"/>
      <c r="Y33" s="62"/>
      <c r="Z33" s="70"/>
      <c r="AA33" s="33"/>
      <c r="AB33" s="40"/>
      <c r="AC33" s="39"/>
      <c r="AD33" s="45"/>
      <c r="AE33" s="45">
        <v>0</v>
      </c>
    </row>
    <row r="34" spans="2:31">
      <c r="B34" s="15"/>
      <c r="C34" s="16" t="s">
        <v>74</v>
      </c>
      <c r="D34" s="17"/>
      <c r="E34" s="17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32"/>
      <c r="S34" s="33"/>
      <c r="T34" s="57"/>
      <c r="U34" s="65"/>
      <c r="V34" s="66"/>
      <c r="W34" s="33"/>
      <c r="X34" s="57"/>
      <c r="Y34" s="65"/>
      <c r="Z34" s="66"/>
      <c r="AA34" s="33"/>
      <c r="AB34" s="34"/>
      <c r="AC34" s="32"/>
      <c r="AD34" s="45"/>
      <c r="AE34" s="45">
        <v>0</v>
      </c>
    </row>
    <row r="35" spans="2:31">
      <c r="B35" s="7" t="s">
        <v>24</v>
      </c>
      <c r="C35" s="12" t="s">
        <v>41</v>
      </c>
      <c r="D35" s="10"/>
      <c r="E35" s="10"/>
      <c r="F35" s="41"/>
      <c r="G35" s="41"/>
      <c r="H35" s="41"/>
      <c r="I35" s="41"/>
      <c r="J35" s="41"/>
      <c r="K35" s="41"/>
      <c r="L35" s="41"/>
      <c r="M35" s="41"/>
      <c r="N35" s="41"/>
      <c r="O35" s="42"/>
      <c r="P35" s="33"/>
      <c r="Q35" s="43"/>
      <c r="R35" s="42"/>
      <c r="S35" s="33"/>
      <c r="T35" s="58"/>
      <c r="U35" s="67"/>
      <c r="V35" s="68"/>
      <c r="W35" s="33"/>
      <c r="X35" s="58"/>
      <c r="Y35" s="67"/>
      <c r="Z35" s="68"/>
      <c r="AA35" s="33"/>
      <c r="AB35" s="43"/>
      <c r="AC35" s="42"/>
      <c r="AD35" s="45"/>
      <c r="AE35" s="45">
        <v>0</v>
      </c>
    </row>
    <row r="36" spans="2:31">
      <c r="B36" s="7" t="s">
        <v>37</v>
      </c>
      <c r="C36" s="1"/>
      <c r="D36" s="10" t="s">
        <v>13</v>
      </c>
      <c r="E36" s="10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3"/>
      <c r="Q36" s="37"/>
      <c r="R36" s="36"/>
      <c r="S36" s="33"/>
      <c r="T36" s="59"/>
      <c r="U36" s="64"/>
      <c r="V36" s="69"/>
      <c r="W36" s="33"/>
      <c r="X36" s="59"/>
      <c r="Y36" s="64"/>
      <c r="Z36" s="69"/>
      <c r="AA36" s="33"/>
      <c r="AB36" s="37"/>
      <c r="AC36" s="36"/>
      <c r="AD36" s="45"/>
      <c r="AE36" s="45">
        <v>0</v>
      </c>
    </row>
    <row r="37" spans="2:31">
      <c r="B37" s="7" t="s">
        <v>38</v>
      </c>
      <c r="C37" s="1"/>
      <c r="D37" s="10" t="s">
        <v>14</v>
      </c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3"/>
      <c r="Q37" s="37"/>
      <c r="R37" s="36"/>
      <c r="S37" s="33"/>
      <c r="T37" s="59"/>
      <c r="U37" s="64"/>
      <c r="V37" s="69"/>
      <c r="W37" s="33"/>
      <c r="X37" s="59"/>
      <c r="Y37" s="64"/>
      <c r="Z37" s="69"/>
      <c r="AA37" s="33"/>
      <c r="AB37" s="37"/>
      <c r="AC37" s="36"/>
      <c r="AD37" s="45"/>
      <c r="AE37" s="45">
        <v>0</v>
      </c>
    </row>
    <row r="38" spans="2:31">
      <c r="B38" s="7" t="s">
        <v>39</v>
      </c>
      <c r="C38" s="1"/>
      <c r="D38" s="10" t="s">
        <v>40</v>
      </c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3"/>
      <c r="Q38" s="37"/>
      <c r="R38" s="36"/>
      <c r="S38" s="33"/>
      <c r="T38" s="59"/>
      <c r="U38" s="64"/>
      <c r="V38" s="69"/>
      <c r="W38" s="33"/>
      <c r="X38" s="59"/>
      <c r="Y38" s="64"/>
      <c r="Z38" s="69"/>
      <c r="AA38" s="33"/>
      <c r="AB38" s="37"/>
      <c r="AC38" s="36"/>
      <c r="AD38" s="45"/>
      <c r="AE38" s="45">
        <v>0</v>
      </c>
    </row>
    <row r="39" spans="2:31">
      <c r="B39" s="7" t="s">
        <v>75</v>
      </c>
      <c r="C39" s="12" t="s">
        <v>66</v>
      </c>
      <c r="D39" s="10"/>
      <c r="E39" s="10"/>
      <c r="F39" s="41"/>
      <c r="G39" s="41"/>
      <c r="H39" s="41"/>
      <c r="I39" s="41"/>
      <c r="J39" s="41"/>
      <c r="K39" s="41"/>
      <c r="L39" s="41"/>
      <c r="M39" s="41"/>
      <c r="N39" s="41"/>
      <c r="O39" s="42"/>
      <c r="P39" s="33"/>
      <c r="Q39" s="43"/>
      <c r="R39" s="42"/>
      <c r="S39" s="33"/>
      <c r="T39" s="58"/>
      <c r="U39" s="67"/>
      <c r="V39" s="68"/>
      <c r="W39" s="33"/>
      <c r="X39" s="58"/>
      <c r="Y39" s="67"/>
      <c r="Z39" s="68"/>
      <c r="AA39" s="33"/>
      <c r="AB39" s="43"/>
      <c r="AC39" s="42"/>
      <c r="AD39" s="45"/>
      <c r="AE39" s="45">
        <v>0</v>
      </c>
    </row>
    <row r="40" spans="2:31">
      <c r="B40" s="7" t="s">
        <v>32</v>
      </c>
      <c r="C40" s="1"/>
      <c r="D40" s="10" t="s">
        <v>19</v>
      </c>
      <c r="E40" s="10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3"/>
      <c r="Q40" s="37"/>
      <c r="R40" s="36"/>
      <c r="S40" s="33"/>
      <c r="T40" s="72"/>
      <c r="U40" s="73"/>
      <c r="V40" s="74"/>
      <c r="W40" s="33"/>
      <c r="X40" s="72"/>
      <c r="Y40" s="73"/>
      <c r="Z40" s="74"/>
      <c r="AA40" s="33"/>
      <c r="AB40" s="37"/>
      <c r="AC40" s="36"/>
      <c r="AD40" s="45"/>
      <c r="AE40" s="45">
        <v>0</v>
      </c>
    </row>
    <row r="41" spans="2:31">
      <c r="B41" s="7" t="s">
        <v>64</v>
      </c>
      <c r="C41" s="1"/>
      <c r="D41" s="10" t="s">
        <v>6</v>
      </c>
      <c r="E41" s="10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3"/>
      <c r="Q41" s="37"/>
      <c r="R41" s="36"/>
      <c r="S41" s="33"/>
      <c r="T41" s="59"/>
      <c r="U41" s="64"/>
      <c r="V41" s="69"/>
      <c r="W41" s="33"/>
      <c r="X41" s="72"/>
      <c r="Y41" s="73"/>
      <c r="Z41" s="74"/>
      <c r="AA41" s="33"/>
      <c r="AB41" s="37"/>
      <c r="AC41" s="36"/>
      <c r="AD41" s="45"/>
      <c r="AE41" s="45">
        <v>0</v>
      </c>
    </row>
    <row r="42" spans="2:31" ht="13.5" thickBot="1">
      <c r="B42" s="8" t="s">
        <v>65</v>
      </c>
      <c r="C42" s="9"/>
      <c r="D42" s="11" t="s">
        <v>115</v>
      </c>
      <c r="E42" s="11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3"/>
      <c r="Q42" s="40"/>
      <c r="R42" s="39"/>
      <c r="S42" s="33"/>
      <c r="T42" s="60"/>
      <c r="U42" s="62"/>
      <c r="V42" s="70"/>
      <c r="W42" s="33"/>
      <c r="X42" s="75"/>
      <c r="Y42" s="76"/>
      <c r="Z42" s="77"/>
      <c r="AA42" s="33"/>
      <c r="AB42" s="40"/>
      <c r="AC42" s="39"/>
      <c r="AD42" s="45"/>
      <c r="AE42" s="45">
        <v>0</v>
      </c>
    </row>
    <row r="43" spans="2:31" ht="13.5" thickBot="1">
      <c r="F43" s="46">
        <f>SUM(F4:F42)</f>
        <v>0</v>
      </c>
      <c r="G43" s="46">
        <f t="shared" ref="G43:AC43" si="0">SUM(G4:G42)</f>
        <v>0</v>
      </c>
      <c r="H43" s="46">
        <f t="shared" si="0"/>
        <v>0</v>
      </c>
      <c r="I43" s="46">
        <f t="shared" si="0"/>
        <v>0</v>
      </c>
      <c r="J43" s="46">
        <f t="shared" si="0"/>
        <v>0</v>
      </c>
      <c r="K43" s="46">
        <f t="shared" si="0"/>
        <v>0</v>
      </c>
      <c r="L43" s="46">
        <f t="shared" si="0"/>
        <v>0</v>
      </c>
      <c r="M43" s="46">
        <f t="shared" si="0"/>
        <v>0</v>
      </c>
      <c r="N43" s="46">
        <f t="shared" si="0"/>
        <v>0</v>
      </c>
      <c r="O43" s="46">
        <f t="shared" si="0"/>
        <v>0</v>
      </c>
      <c r="P43" s="46">
        <f t="shared" si="0"/>
        <v>0</v>
      </c>
      <c r="Q43" s="46">
        <f t="shared" si="0"/>
        <v>0</v>
      </c>
      <c r="R43" s="46">
        <f t="shared" si="0"/>
        <v>0</v>
      </c>
      <c r="S43" s="46"/>
      <c r="T43" s="46">
        <f t="shared" si="0"/>
        <v>0</v>
      </c>
      <c r="U43" s="46">
        <f t="shared" si="0"/>
        <v>0</v>
      </c>
      <c r="V43" s="46">
        <f t="shared" si="0"/>
        <v>0</v>
      </c>
      <c r="W43" s="46"/>
      <c r="X43" s="46">
        <f>SUM(X4:X42)</f>
        <v>0</v>
      </c>
      <c r="Y43" s="46">
        <f>SUM(Y4:Y42)</f>
        <v>0</v>
      </c>
      <c r="Z43" s="46">
        <f>SUM(Z4:Z42)</f>
        <v>0</v>
      </c>
      <c r="AA43" s="46"/>
      <c r="AB43" s="46">
        <f t="shared" si="0"/>
        <v>0</v>
      </c>
      <c r="AC43" s="46">
        <f t="shared" si="0"/>
        <v>0</v>
      </c>
      <c r="AE43" s="47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T85"/>
  <sheetViews>
    <sheetView zoomScale="90" zoomScaleNormal="90" workbookViewId="0">
      <selection activeCell="U68" sqref="U68"/>
    </sheetView>
  </sheetViews>
  <sheetFormatPr defaultRowHeight="15"/>
  <cols>
    <col min="1" max="1" width="9.28515625" style="3" bestFit="1" customWidth="1"/>
    <col min="2" max="2" width="30.85546875" customWidth="1"/>
    <col min="3" max="3" width="12.85546875" bestFit="1" customWidth="1"/>
    <col min="4" max="4" width="12.85546875" style="234" customWidth="1"/>
    <col min="5" max="5" width="12.85546875" bestFit="1" customWidth="1"/>
    <col min="6" max="6" width="10.85546875" customWidth="1"/>
    <col min="7" max="7" width="9.7109375" style="234" customWidth="1"/>
    <col min="8" max="8" width="9.28515625" bestFit="1" customWidth="1"/>
    <col min="9" max="9" width="9.28515625" style="234" customWidth="1"/>
    <col min="10" max="10" width="9.28515625" bestFit="1" customWidth="1"/>
    <col min="11" max="12" width="14.85546875" style="3" bestFit="1" customWidth="1"/>
    <col min="13" max="13" width="12.140625" style="3" bestFit="1" customWidth="1"/>
    <col min="14" max="46" width="9.140625" style="3"/>
  </cols>
  <sheetData>
    <row r="1" spans="1:46" s="3" customFormat="1">
      <c r="B1" s="6">
        <v>2014</v>
      </c>
    </row>
    <row r="2" spans="1:46" s="3" customFormat="1" ht="15.75" thickBot="1"/>
    <row r="3" spans="1:46" ht="15.75" thickBot="1">
      <c r="B3" s="575" t="s">
        <v>102</v>
      </c>
      <c r="C3" s="577" t="s">
        <v>100</v>
      </c>
      <c r="D3" s="566"/>
      <c r="E3" s="566"/>
      <c r="F3" s="575" t="s">
        <v>338</v>
      </c>
      <c r="G3" s="575" t="s">
        <v>312</v>
      </c>
      <c r="H3" s="577" t="s">
        <v>101</v>
      </c>
      <c r="I3" s="566"/>
      <c r="J3" s="567"/>
    </row>
    <row r="4" spans="1:46" ht="15.75" customHeight="1">
      <c r="B4" s="576"/>
      <c r="C4" s="48">
        <v>1990</v>
      </c>
      <c r="D4" s="48">
        <v>2013</v>
      </c>
      <c r="E4" s="48">
        <v>2014</v>
      </c>
      <c r="F4" s="576"/>
      <c r="G4" s="576"/>
      <c r="H4" s="48">
        <v>1990</v>
      </c>
      <c r="I4" s="48">
        <v>2013</v>
      </c>
      <c r="J4" s="54">
        <v>2014</v>
      </c>
    </row>
    <row r="5" spans="1:46">
      <c r="B5" s="55" t="s">
        <v>0</v>
      </c>
      <c r="C5" s="231">
        <v>1777035</v>
      </c>
      <c r="D5" s="440">
        <v>1555853</v>
      </c>
      <c r="E5" s="481">
        <v>1316260</v>
      </c>
      <c r="F5" s="488">
        <v>-0.25929427388880921</v>
      </c>
      <c r="G5" s="50">
        <v>-0.15399462545626097</v>
      </c>
      <c r="H5" s="52">
        <v>0.36838253814093824</v>
      </c>
      <c r="I5" s="442">
        <v>0.35754094299532718</v>
      </c>
      <c r="J5" s="492">
        <v>0.31628852503135829</v>
      </c>
    </row>
    <row r="6" spans="1:46">
      <c r="B6" s="55" t="s">
        <v>54</v>
      </c>
      <c r="C6" s="231">
        <v>583207</v>
      </c>
      <c r="D6" s="440">
        <v>1114007</v>
      </c>
      <c r="E6" s="481">
        <v>1027686</v>
      </c>
      <c r="F6" s="488">
        <v>0.76212905537827913</v>
      </c>
      <c r="G6" s="50">
        <v>-7.7486945773231231E-2</v>
      </c>
      <c r="H6" s="52">
        <v>0.12089985561430258</v>
      </c>
      <c r="I6" s="442">
        <v>0.25600304995613044</v>
      </c>
      <c r="J6" s="492">
        <v>0.24694611181330167</v>
      </c>
    </row>
    <row r="7" spans="1:46">
      <c r="B7" s="55" t="s">
        <v>42</v>
      </c>
      <c r="C7" s="231">
        <v>46541</v>
      </c>
      <c r="D7" s="440">
        <v>33413</v>
      </c>
      <c r="E7" s="481">
        <v>29702</v>
      </c>
      <c r="F7" s="488">
        <v>-0.36181001697428072</v>
      </c>
      <c r="G7" s="50">
        <v>-0.1110645557118487</v>
      </c>
      <c r="H7" s="52">
        <v>9.6480326541781153E-3</v>
      </c>
      <c r="I7" s="442">
        <v>7.6784346132332979E-3</v>
      </c>
      <c r="J7" s="492">
        <v>7.1371930853185569E-3</v>
      </c>
    </row>
    <row r="8" spans="1:46">
      <c r="B8" s="55" t="s">
        <v>46</v>
      </c>
      <c r="C8" s="231">
        <v>455476</v>
      </c>
      <c r="D8" s="440">
        <v>941650</v>
      </c>
      <c r="E8" s="481">
        <v>981307</v>
      </c>
      <c r="F8" s="488">
        <v>1.1544647797029919</v>
      </c>
      <c r="G8" s="50">
        <v>4.2114373705729236E-2</v>
      </c>
      <c r="H8" s="52">
        <v>9.4420990550147854E-2</v>
      </c>
      <c r="I8" s="442">
        <v>0.21639475514174528</v>
      </c>
      <c r="J8" s="492">
        <v>0.23580154652800139</v>
      </c>
    </row>
    <row r="9" spans="1:46">
      <c r="B9" s="55" t="s">
        <v>71</v>
      </c>
      <c r="C9" s="231">
        <v>118779</v>
      </c>
      <c r="D9" s="440">
        <v>66053</v>
      </c>
      <c r="E9" s="481">
        <v>66725</v>
      </c>
      <c r="F9" s="488">
        <v>-0.43824245026477748</v>
      </c>
      <c r="G9" s="50">
        <v>1.0173648433833504E-2</v>
      </c>
      <c r="H9" s="52">
        <v>2.4623099431267538E-2</v>
      </c>
      <c r="I9" s="442">
        <v>1.5179230883425585E-2</v>
      </c>
      <c r="J9" s="492">
        <v>1.6033573786879023E-2</v>
      </c>
    </row>
    <row r="10" spans="1:46" s="234" customFormat="1">
      <c r="A10" s="3"/>
      <c r="B10" s="56" t="s">
        <v>340</v>
      </c>
      <c r="C10" s="231">
        <v>0</v>
      </c>
      <c r="D10" s="441">
        <v>114480</v>
      </c>
      <c r="E10" s="482">
        <v>128437</v>
      </c>
      <c r="F10" s="488">
        <v>1</v>
      </c>
      <c r="G10" s="50">
        <v>0.12191649196366172</v>
      </c>
      <c r="H10" s="52">
        <v>0</v>
      </c>
      <c r="I10" s="442">
        <v>2.6307939859424416E-2</v>
      </c>
      <c r="J10" s="492">
        <v>3.0862557009597315E-2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>
      <c r="B11" s="56" t="s">
        <v>11</v>
      </c>
      <c r="C11" s="231">
        <v>1442928</v>
      </c>
      <c r="D11" s="441">
        <v>513222</v>
      </c>
      <c r="E11" s="482">
        <v>599911</v>
      </c>
      <c r="F11" s="490">
        <v>-0.58424051650532804</v>
      </c>
      <c r="G11" s="50">
        <v>0.16891130933592091</v>
      </c>
      <c r="H11" s="52">
        <v>0.29912155866070606</v>
      </c>
      <c r="I11" s="442">
        <v>0.11794036958886719</v>
      </c>
      <c r="J11" s="493">
        <v>0.14415462396493639</v>
      </c>
    </row>
    <row r="12" spans="1:46" s="234" customFormat="1">
      <c r="A12" s="3"/>
      <c r="B12" s="56" t="s">
        <v>341</v>
      </c>
      <c r="C12" s="231">
        <v>169</v>
      </c>
      <c r="D12" s="441">
        <v>97</v>
      </c>
      <c r="E12" s="482">
        <v>97</v>
      </c>
      <c r="F12" s="490">
        <v>-0.42603550295857984</v>
      </c>
      <c r="G12" s="50">
        <v>0</v>
      </c>
      <c r="H12" s="52">
        <v>3.503400267626612E-5</v>
      </c>
      <c r="I12" s="442">
        <v>2.2290969307863106E-5</v>
      </c>
      <c r="J12" s="493">
        <v>2.3308454961817387E-5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>
      <c r="B13" s="56" t="s">
        <v>4</v>
      </c>
      <c r="C13" s="231">
        <v>390686</v>
      </c>
      <c r="D13" s="441">
        <v>16741</v>
      </c>
      <c r="E13" s="482">
        <v>16483</v>
      </c>
      <c r="F13" s="490">
        <v>-0.95781010837347635</v>
      </c>
      <c r="G13" s="50">
        <v>-1.5411265754733838E-2</v>
      </c>
      <c r="H13" s="52">
        <v>8.0989907512305948E-2</v>
      </c>
      <c r="I13" s="442">
        <v>3.8471455379684148E-3</v>
      </c>
      <c r="J13" s="493">
        <v>3.9607552900581032E-3</v>
      </c>
    </row>
    <row r="14" spans="1:46" ht="15.75" thickBot="1">
      <c r="B14" s="56" t="s">
        <v>124</v>
      </c>
      <c r="C14" s="231">
        <v>9064</v>
      </c>
      <c r="D14" s="441">
        <v>-3978</v>
      </c>
      <c r="E14" s="482">
        <v>-5028</v>
      </c>
      <c r="F14" s="490">
        <v>-1.5547219770520742</v>
      </c>
      <c r="G14" s="50">
        <v>0.26395173453996978</v>
      </c>
      <c r="H14" s="53">
        <v>1.8789834334773734E-3</v>
      </c>
      <c r="I14" s="442">
        <v>-9.1415954542968482E-4</v>
      </c>
      <c r="J14" s="493">
        <v>-1.2081949644125549E-3</v>
      </c>
    </row>
    <row r="15" spans="1:46" ht="15.75" thickBot="1">
      <c r="B15" s="49" t="s">
        <v>97</v>
      </c>
      <c r="C15" s="449">
        <v>4823885</v>
      </c>
      <c r="D15" s="450">
        <v>4351538</v>
      </c>
      <c r="E15" s="483">
        <v>4161580</v>
      </c>
      <c r="F15" s="491">
        <v>-0.13729701267754102</v>
      </c>
      <c r="G15" s="86">
        <v>-4.3653071626629458E-2</v>
      </c>
      <c r="H15" s="451">
        <v>1</v>
      </c>
      <c r="I15" s="451">
        <v>0.99999999999999989</v>
      </c>
      <c r="J15" s="494">
        <v>0.99999999999999989</v>
      </c>
    </row>
    <row r="16" spans="1:46" s="3" customFormat="1" ht="15.75" customHeight="1">
      <c r="E16" s="435"/>
    </row>
    <row r="17" spans="1:46" s="3" customFormat="1" ht="15.75" thickBot="1">
      <c r="E17" s="435"/>
    </row>
    <row r="18" spans="1:46" ht="15.75" thickBot="1">
      <c r="B18" s="575" t="s">
        <v>99</v>
      </c>
      <c r="C18" s="577" t="s">
        <v>100</v>
      </c>
      <c r="D18" s="566"/>
      <c r="E18" s="578"/>
      <c r="F18" s="575" t="s">
        <v>338</v>
      </c>
      <c r="G18" s="575" t="s">
        <v>312</v>
      </c>
      <c r="H18" s="577" t="s">
        <v>101</v>
      </c>
      <c r="I18" s="566"/>
      <c r="J18" s="567"/>
    </row>
    <row r="19" spans="1:46">
      <c r="B19" s="576"/>
      <c r="C19" s="48">
        <v>1990</v>
      </c>
      <c r="D19" s="48">
        <v>2013</v>
      </c>
      <c r="E19" s="54">
        <v>2014</v>
      </c>
      <c r="F19" s="576"/>
      <c r="G19" s="576"/>
      <c r="H19" s="48">
        <v>1990</v>
      </c>
      <c r="I19" s="48">
        <v>2013</v>
      </c>
      <c r="J19" s="54">
        <v>2014</v>
      </c>
    </row>
    <row r="20" spans="1:46">
      <c r="B20" s="55" t="s">
        <v>80</v>
      </c>
      <c r="C20" s="232">
        <v>183951</v>
      </c>
      <c r="D20" s="232">
        <v>394350</v>
      </c>
      <c r="E20" s="484">
        <v>348252</v>
      </c>
      <c r="F20" s="488">
        <v>0.89317807459595211</v>
      </c>
      <c r="G20" s="50">
        <v>-0.11689615823507038</v>
      </c>
      <c r="H20" s="52">
        <v>4.1549908181865408E-2</v>
      </c>
      <c r="I20" s="442">
        <v>9.083132253722391E-2</v>
      </c>
      <c r="J20" s="492">
        <v>8.384093017276309E-2</v>
      </c>
    </row>
    <row r="21" spans="1:46">
      <c r="B21" s="55" t="s">
        <v>79</v>
      </c>
      <c r="C21" s="232">
        <v>14616</v>
      </c>
      <c r="D21" s="232">
        <v>0</v>
      </c>
      <c r="E21" s="484">
        <v>0</v>
      </c>
      <c r="F21" s="488">
        <v>-1</v>
      </c>
      <c r="G21" s="50">
        <v>1</v>
      </c>
      <c r="H21" s="52">
        <v>3.3013870975756852E-3</v>
      </c>
      <c r="I21" s="442">
        <v>0</v>
      </c>
      <c r="J21" s="492">
        <v>0</v>
      </c>
    </row>
    <row r="22" spans="1:46">
      <c r="B22" s="55" t="s">
        <v>78</v>
      </c>
      <c r="C22" s="232">
        <v>58461</v>
      </c>
      <c r="D22" s="232">
        <v>0</v>
      </c>
      <c r="E22" s="484">
        <v>0</v>
      </c>
      <c r="F22" s="488">
        <v>-1</v>
      </c>
      <c r="G22" s="50">
        <v>1</v>
      </c>
      <c r="H22" s="52">
        <v>1.3204870765693221E-2</v>
      </c>
      <c r="I22" s="442">
        <v>0</v>
      </c>
      <c r="J22" s="492">
        <v>0</v>
      </c>
    </row>
    <row r="23" spans="1:46">
      <c r="B23" s="55" t="s">
        <v>83</v>
      </c>
      <c r="C23" s="232">
        <v>0</v>
      </c>
      <c r="D23" s="232">
        <v>56208</v>
      </c>
      <c r="E23" s="484">
        <v>55972</v>
      </c>
      <c r="F23" s="488">
        <v>1</v>
      </c>
      <c r="G23" s="50">
        <v>-4.1986905778537142E-3</v>
      </c>
      <c r="H23" s="52">
        <v>0</v>
      </c>
      <c r="I23" s="442">
        <v>1.2946486565670804E-2</v>
      </c>
      <c r="J23" s="492">
        <v>1.3475140253695299E-2</v>
      </c>
    </row>
    <row r="24" spans="1:46">
      <c r="B24" s="55" t="s">
        <v>82</v>
      </c>
      <c r="C24" s="232">
        <v>0</v>
      </c>
      <c r="D24" s="232">
        <v>8817</v>
      </c>
      <c r="E24" s="484">
        <v>9661</v>
      </c>
      <c r="F24" s="488">
        <v>1</v>
      </c>
      <c r="G24" s="50">
        <v>9.5724169218555089E-2</v>
      </c>
      <c r="H24" s="52">
        <v>0</v>
      </c>
      <c r="I24" s="442">
        <v>2.0308349709920203E-3</v>
      </c>
      <c r="J24" s="492">
        <v>2.3258652538939162E-3</v>
      </c>
    </row>
    <row r="25" spans="1:46">
      <c r="B25" s="55" t="s">
        <v>84</v>
      </c>
      <c r="C25" s="232">
        <v>168662</v>
      </c>
      <c r="D25" s="232">
        <v>511866</v>
      </c>
      <c r="E25" s="484">
        <v>531282</v>
      </c>
      <c r="F25" s="488">
        <v>2.1499804342412636</v>
      </c>
      <c r="G25" s="50">
        <v>3.7931802463926134E-2</v>
      </c>
      <c r="H25" s="52">
        <v>3.8096507296887669E-2</v>
      </c>
      <c r="I25" s="442">
        <v>0.11789898755379398</v>
      </c>
      <c r="J25" s="492">
        <v>0.12790501436903712</v>
      </c>
    </row>
    <row r="26" spans="1:46">
      <c r="B26" s="55" t="s">
        <v>85</v>
      </c>
      <c r="C26" s="232">
        <v>292005</v>
      </c>
      <c r="D26" s="232">
        <v>384160</v>
      </c>
      <c r="E26" s="484">
        <v>402530</v>
      </c>
      <c r="F26" s="488">
        <v>0.37850379274327484</v>
      </c>
      <c r="G26" s="50">
        <v>4.7818617242815442E-2</v>
      </c>
      <c r="H26" s="52">
        <v>6.5956591367514222E-2</v>
      </c>
      <c r="I26" s="442">
        <v>8.8484242084189021E-2</v>
      </c>
      <c r="J26" s="492">
        <v>9.6908243520331033E-2</v>
      </c>
    </row>
    <row r="27" spans="1:46" s="234" customFormat="1">
      <c r="A27" s="3"/>
      <c r="B27" s="55" t="s">
        <v>342</v>
      </c>
      <c r="C27" s="232">
        <v>0</v>
      </c>
      <c r="D27" s="232">
        <v>114480</v>
      </c>
      <c r="E27" s="484">
        <v>128437</v>
      </c>
      <c r="F27" s="488">
        <v>1</v>
      </c>
      <c r="G27" s="50">
        <v>0.12191649196366172</v>
      </c>
      <c r="H27" s="52">
        <v>0</v>
      </c>
      <c r="I27" s="442">
        <v>2.6368377847245831E-2</v>
      </c>
      <c r="J27" s="492">
        <v>3.0920935266988192E-2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>
      <c r="B28" s="55" t="s">
        <v>206</v>
      </c>
      <c r="C28" s="232">
        <v>226256</v>
      </c>
      <c r="D28" s="232">
        <v>33579</v>
      </c>
      <c r="E28" s="484">
        <v>33261</v>
      </c>
      <c r="F28" s="488">
        <v>-0.85299395375150278</v>
      </c>
      <c r="G28" s="50">
        <v>-9.470204592155862E-3</v>
      </c>
      <c r="H28" s="52">
        <v>5.1105544550429954E-2</v>
      </c>
      <c r="I28" s="442">
        <v>7.7343095713894808E-3</v>
      </c>
      <c r="J28" s="492">
        <v>8.0075151857743037E-3</v>
      </c>
    </row>
    <row r="29" spans="1:46" s="71" customFormat="1">
      <c r="A29" s="3"/>
      <c r="B29" s="55" t="s">
        <v>207</v>
      </c>
      <c r="C29" s="232">
        <v>561871</v>
      </c>
      <c r="D29" s="232">
        <v>270881</v>
      </c>
      <c r="E29" s="484">
        <v>224563</v>
      </c>
      <c r="F29" s="488">
        <v>-0.60032996897864455</v>
      </c>
      <c r="G29" s="50">
        <v>-0.17099021341474674</v>
      </c>
      <c r="H29" s="52">
        <v>0.12691253899164939</v>
      </c>
      <c r="I29" s="442">
        <v>6.2392492659327378E-2</v>
      </c>
      <c r="J29" s="492">
        <v>5.4063065832748114E-2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s="234" customFormat="1">
      <c r="A30" s="3"/>
      <c r="B30" s="55" t="s">
        <v>208</v>
      </c>
      <c r="C30" s="232">
        <v>22009</v>
      </c>
      <c r="D30" s="232">
        <v>15815</v>
      </c>
      <c r="E30" s="484">
        <v>11178</v>
      </c>
      <c r="F30" s="488">
        <v>-0.49211686128402021</v>
      </c>
      <c r="G30" s="50">
        <v>-0.29320265570660764</v>
      </c>
      <c r="H30" s="52">
        <v>4.9712800102998944E-3</v>
      </c>
      <c r="I30" s="442">
        <v>3.6426965029192244E-3</v>
      </c>
      <c r="J30" s="492">
        <v>2.69107978553216E-3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>
      <c r="B31" s="55" t="s">
        <v>77</v>
      </c>
      <c r="C31" s="232">
        <v>1579399</v>
      </c>
      <c r="D31" s="232">
        <v>1768917</v>
      </c>
      <c r="E31" s="484">
        <v>1756244</v>
      </c>
      <c r="F31" s="488">
        <v>0.11196980623642294</v>
      </c>
      <c r="G31" s="50">
        <v>-7.16427056781066E-3</v>
      </c>
      <c r="H31" s="52">
        <v>0.35674654354980428</v>
      </c>
      <c r="I31" s="442">
        <v>0.40743773442013065</v>
      </c>
      <c r="J31" s="492">
        <v>0.42281201707480254</v>
      </c>
    </row>
    <row r="32" spans="1:46" ht="15.75" thickBot="1">
      <c r="B32" s="55" t="s">
        <v>81</v>
      </c>
      <c r="C32" s="233">
        <v>1320000</v>
      </c>
      <c r="D32" s="233">
        <v>782491</v>
      </c>
      <c r="E32" s="484">
        <v>652343</v>
      </c>
      <c r="F32" s="488">
        <v>-0.5058007575757576</v>
      </c>
      <c r="G32" s="50">
        <v>-0.16632523568961177</v>
      </c>
      <c r="H32" s="52">
        <v>0.29815482818828026</v>
      </c>
      <c r="I32" s="442">
        <v>0.18023251528711773</v>
      </c>
      <c r="J32" s="492">
        <v>0.15705019328443423</v>
      </c>
    </row>
    <row r="33" spans="2:10" ht="15.75" thickBot="1">
      <c r="B33" s="49" t="s">
        <v>97</v>
      </c>
      <c r="C33" s="51">
        <v>4427230</v>
      </c>
      <c r="D33" s="452">
        <v>4341564</v>
      </c>
      <c r="E33" s="483">
        <v>4153723</v>
      </c>
      <c r="F33" s="489">
        <v>-6.1778358025221136E-2</v>
      </c>
      <c r="G33" s="446">
        <v>-4.3265744786901705E-2</v>
      </c>
      <c r="H33" s="453">
        <v>1</v>
      </c>
      <c r="I33" s="453">
        <v>1</v>
      </c>
      <c r="J33" s="495">
        <v>1</v>
      </c>
    </row>
    <row r="34" spans="2:10" ht="15.75" thickBot="1">
      <c r="B34" s="575" t="s">
        <v>123</v>
      </c>
      <c r="C34" s="577" t="s">
        <v>100</v>
      </c>
      <c r="D34" s="566"/>
      <c r="E34" s="578"/>
      <c r="F34" s="575" t="s">
        <v>338</v>
      </c>
      <c r="G34" s="575" t="s">
        <v>312</v>
      </c>
      <c r="H34" s="83"/>
      <c r="I34" s="436"/>
      <c r="J34" s="84"/>
    </row>
    <row r="35" spans="2:10" ht="15.75" thickBot="1">
      <c r="B35" s="576"/>
      <c r="C35" s="48">
        <v>1990</v>
      </c>
      <c r="D35" s="48">
        <v>2013</v>
      </c>
      <c r="E35" s="54">
        <v>2014</v>
      </c>
      <c r="F35" s="576"/>
      <c r="G35" s="576"/>
      <c r="H35" s="48"/>
      <c r="I35" s="48"/>
      <c r="J35" s="54"/>
    </row>
    <row r="36" spans="2:10" ht="15.75" thickBot="1">
      <c r="B36" s="49" t="s">
        <v>126</v>
      </c>
      <c r="C36" s="448">
        <v>396655</v>
      </c>
      <c r="D36" s="448">
        <v>9974</v>
      </c>
      <c r="E36" s="485">
        <v>7857</v>
      </c>
      <c r="F36" s="489">
        <v>-0.98019185438227174</v>
      </c>
      <c r="G36" s="447">
        <v>-0.21225185482253861</v>
      </c>
      <c r="H36" s="445"/>
      <c r="I36" s="443"/>
      <c r="J36" s="444"/>
    </row>
    <row r="37" spans="2:10" s="3" customFormat="1" ht="15.75" thickBot="1"/>
    <row r="38" spans="2:10" s="3" customFormat="1">
      <c r="B38" s="85" t="s">
        <v>127</v>
      </c>
      <c r="C38" s="459">
        <v>4823885</v>
      </c>
      <c r="D38" s="459">
        <v>4351538</v>
      </c>
      <c r="E38" s="486">
        <v>4161580</v>
      </c>
      <c r="F38" s="111"/>
      <c r="G38" s="111"/>
      <c r="H38" s="111"/>
      <c r="I38" s="111"/>
      <c r="J38" s="422"/>
    </row>
    <row r="39" spans="2:10" s="3" customFormat="1" ht="15.75" thickBot="1">
      <c r="B39" s="114" t="s">
        <v>128</v>
      </c>
      <c r="C39" s="460">
        <v>7.5021539657853813</v>
      </c>
      <c r="D39" s="460">
        <v>6.8962567353407289</v>
      </c>
      <c r="E39" s="487">
        <v>6.5952139461172745</v>
      </c>
      <c r="F39" s="423"/>
      <c r="G39" s="423"/>
      <c r="H39" s="423"/>
      <c r="I39" s="423"/>
      <c r="J39" s="424"/>
    </row>
    <row r="40" spans="2:10" s="3" customFormat="1">
      <c r="B40" s="6" t="s">
        <v>347</v>
      </c>
      <c r="D40" s="496">
        <v>-472347</v>
      </c>
      <c r="E40" s="496">
        <v>-662305</v>
      </c>
    </row>
    <row r="41" spans="2:10" s="3" customFormat="1" ht="15.75" hidden="1" thickBot="1">
      <c r="B41" s="115" t="s">
        <v>129</v>
      </c>
      <c r="C41" s="461">
        <v>1475024</v>
      </c>
      <c r="D41" s="461"/>
      <c r="E41" s="461" t="e">
        <f>SUM(#REF!,#REF!)</f>
        <v>#REF!</v>
      </c>
      <c r="F41" s="462" t="e">
        <f>(E41/C41)-1</f>
        <v>#REF!</v>
      </c>
      <c r="G41" s="463"/>
      <c r="H41" s="112"/>
      <c r="I41" s="112"/>
      <c r="J41" s="217"/>
    </row>
    <row r="42" spans="2:10" s="3" customFormat="1"/>
    <row r="43" spans="2:10" s="3" customFormat="1">
      <c r="C43" s="435"/>
      <c r="D43" s="435"/>
    </row>
    <row r="44" spans="2:10" s="3" customFormat="1"/>
    <row r="45" spans="2:10" s="3" customFormat="1">
      <c r="B45" s="6"/>
    </row>
    <row r="46" spans="2:10" s="3" customFormat="1">
      <c r="C46" s="464"/>
      <c r="D46" s="464"/>
      <c r="E46" s="464"/>
    </row>
    <row r="47" spans="2:10" s="3" customFormat="1">
      <c r="C47" s="465"/>
      <c r="D47" s="465"/>
      <c r="E47" s="465"/>
    </row>
    <row r="48" spans="2:10" s="3" customFormat="1"/>
    <row r="49" spans="3:12" s="3" customFormat="1">
      <c r="C49" s="466"/>
      <c r="D49" s="466"/>
      <c r="E49" s="439"/>
      <c r="L49" s="211"/>
    </row>
    <row r="50" spans="3:12" s="3" customFormat="1">
      <c r="C50" s="467"/>
      <c r="D50" s="467"/>
      <c r="L50" s="434"/>
    </row>
    <row r="51" spans="3:12" s="3" customFormat="1">
      <c r="C51" s="435"/>
      <c r="D51" s="435"/>
      <c r="L51" s="213"/>
    </row>
    <row r="52" spans="3:12" s="3" customFormat="1">
      <c r="C52" s="468"/>
      <c r="D52" s="468"/>
      <c r="E52" s="469"/>
      <c r="L52" s="434"/>
    </row>
    <row r="53" spans="3:12" s="3" customFormat="1">
      <c r="E53" s="470"/>
    </row>
    <row r="54" spans="3:12" s="3" customFormat="1">
      <c r="C54" s="435"/>
      <c r="D54" s="435"/>
      <c r="L54" s="434"/>
    </row>
    <row r="55" spans="3:12" s="3" customFormat="1"/>
    <row r="56" spans="3:12" s="3" customFormat="1">
      <c r="C56" s="435"/>
      <c r="D56" s="435"/>
    </row>
    <row r="57" spans="3:12" s="3" customFormat="1">
      <c r="C57" s="471"/>
      <c r="D57" s="471"/>
      <c r="E57" s="472"/>
    </row>
    <row r="58" spans="3:12" s="3" customFormat="1"/>
    <row r="59" spans="3:12" s="3" customFormat="1"/>
    <row r="60" spans="3:12" s="3" customFormat="1"/>
    <row r="61" spans="3:12" s="3" customFormat="1"/>
    <row r="62" spans="3:12" s="3" customFormat="1"/>
    <row r="63" spans="3:12" s="3" customFormat="1"/>
    <row r="64" spans="3:12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</sheetData>
  <mergeCells count="14">
    <mergeCell ref="B3:B4"/>
    <mergeCell ref="F3:F4"/>
    <mergeCell ref="G3:G4"/>
    <mergeCell ref="H18:J18"/>
    <mergeCell ref="C34:E34"/>
    <mergeCell ref="F34:F35"/>
    <mergeCell ref="G34:G35"/>
    <mergeCell ref="C3:E3"/>
    <mergeCell ref="H3:J3"/>
    <mergeCell ref="B18:B19"/>
    <mergeCell ref="B34:B35"/>
    <mergeCell ref="F18:F19"/>
    <mergeCell ref="G18:G19"/>
    <mergeCell ref="C18:E18"/>
  </mergeCells>
  <dataValidations count="1">
    <dataValidation type="list" allowBlank="1" showInputMessage="1" showErrorMessage="1" sqref="B20:B32">
      <formula1>paliwa</formula1>
    </dataValidation>
  </dataValidations>
  <pageMargins left="0.7" right="0.7" top="0.75" bottom="0.75" header="0.3" footer="0.3"/>
  <pageSetup paperSize="9" scale="80" orientation="landscape" r:id="rId1"/>
  <cellWatches>
    <cellWatch r="E33"/>
  </cellWatch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B1:T67"/>
  <sheetViews>
    <sheetView workbookViewId="0">
      <selection activeCell="E22" sqref="E22"/>
    </sheetView>
  </sheetViews>
  <sheetFormatPr defaultRowHeight="15"/>
  <sheetData>
    <row r="1" spans="2:20" ht="15.75" thickBot="1"/>
    <row r="2" spans="2:20" ht="15.75" thickBot="1">
      <c r="B2" s="580" t="s">
        <v>334</v>
      </c>
      <c r="C2" s="581"/>
      <c r="D2" s="581"/>
      <c r="E2" s="581"/>
      <c r="F2" s="581"/>
      <c r="G2" s="582"/>
      <c r="H2" s="3"/>
      <c r="I2" s="580" t="s">
        <v>335</v>
      </c>
      <c r="J2" s="581"/>
      <c r="K2" s="581"/>
      <c r="L2" s="581"/>
      <c r="M2" s="581"/>
      <c r="O2" s="580" t="s">
        <v>336</v>
      </c>
      <c r="P2" s="581"/>
      <c r="Q2" s="581"/>
      <c r="R2" s="581"/>
      <c r="S2" s="581"/>
      <c r="T2" s="582"/>
    </row>
    <row r="3" spans="2:20">
      <c r="B3" s="219"/>
      <c r="C3" s="583" t="s">
        <v>162</v>
      </c>
      <c r="D3" s="583"/>
      <c r="E3" s="583"/>
      <c r="F3" s="583"/>
      <c r="G3" s="184"/>
      <c r="H3" s="183"/>
      <c r="I3" s="219"/>
      <c r="J3" s="583" t="s">
        <v>162</v>
      </c>
      <c r="K3" s="583"/>
      <c r="L3" s="583"/>
      <c r="M3" s="583"/>
      <c r="O3" s="219"/>
      <c r="P3" s="583" t="s">
        <v>162</v>
      </c>
      <c r="Q3" s="583"/>
      <c r="R3" s="583"/>
      <c r="S3" s="583"/>
      <c r="T3" s="184"/>
    </row>
    <row r="4" spans="2:20">
      <c r="B4" s="220" t="s">
        <v>179</v>
      </c>
      <c r="C4" s="218" t="s">
        <v>169</v>
      </c>
      <c r="D4" s="218" t="s">
        <v>170</v>
      </c>
      <c r="E4" s="218" t="s">
        <v>171</v>
      </c>
      <c r="F4" s="218" t="s">
        <v>172</v>
      </c>
      <c r="G4" s="185" t="s">
        <v>97</v>
      </c>
      <c r="H4" s="3"/>
      <c r="I4" s="220" t="s">
        <v>179</v>
      </c>
      <c r="J4" s="218" t="s">
        <v>169</v>
      </c>
      <c r="K4" s="218" t="s">
        <v>170</v>
      </c>
      <c r="L4" s="218" t="s">
        <v>171</v>
      </c>
      <c r="M4" s="218" t="s">
        <v>172</v>
      </c>
      <c r="O4" s="220" t="s">
        <v>179</v>
      </c>
      <c r="P4" s="218" t="s">
        <v>169</v>
      </c>
      <c r="Q4" s="218" t="s">
        <v>170</v>
      </c>
      <c r="R4" s="218" t="s">
        <v>171</v>
      </c>
      <c r="S4" s="218" t="s">
        <v>172</v>
      </c>
      <c r="T4" s="185" t="s">
        <v>97</v>
      </c>
    </row>
    <row r="5" spans="2:20">
      <c r="B5" s="221" t="s">
        <v>173</v>
      </c>
      <c r="C5" s="425">
        <v>1</v>
      </c>
      <c r="D5" s="426"/>
      <c r="E5" s="426">
        <v>18</v>
      </c>
      <c r="F5" s="427"/>
      <c r="G5" s="195">
        <f>SUM(C5:F5)</f>
        <v>19</v>
      </c>
      <c r="H5" s="3"/>
      <c r="I5" s="221" t="s">
        <v>173</v>
      </c>
      <c r="J5" s="425">
        <v>1.0878896269800715</v>
      </c>
      <c r="K5" s="426">
        <v>1.0878896269800715</v>
      </c>
      <c r="L5" s="426">
        <v>1.0878896269800715</v>
      </c>
      <c r="M5" s="427">
        <v>1.0878896269800715</v>
      </c>
      <c r="O5" s="221" t="s">
        <v>173</v>
      </c>
      <c r="P5" s="425">
        <f>ROUND(C5*J5,0)</f>
        <v>1</v>
      </c>
      <c r="Q5" s="425">
        <f t="shared" ref="Q5:S5" si="0">ROUND(D5*K5,0)</f>
        <v>0</v>
      </c>
      <c r="R5" s="425">
        <f t="shared" si="0"/>
        <v>20</v>
      </c>
      <c r="S5" s="425">
        <f t="shared" si="0"/>
        <v>0</v>
      </c>
      <c r="T5" s="195">
        <f>SUM(P5:S5)</f>
        <v>21</v>
      </c>
    </row>
    <row r="6" spans="2:20">
      <c r="B6" s="221" t="s">
        <v>174</v>
      </c>
      <c r="C6" s="428"/>
      <c r="D6" s="429"/>
      <c r="E6" s="429">
        <v>20</v>
      </c>
      <c r="F6" s="430"/>
      <c r="G6" s="195">
        <f t="shared" ref="G6:G10" si="1">SUM(C6:F6)</f>
        <v>20</v>
      </c>
      <c r="H6" s="3"/>
      <c r="I6" s="221" t="s">
        <v>174</v>
      </c>
      <c r="J6" s="428">
        <v>1.0012266928361138</v>
      </c>
      <c r="K6" s="428">
        <v>1.0012266928361138</v>
      </c>
      <c r="L6" s="428">
        <v>1.0012266928361138</v>
      </c>
      <c r="M6" s="428">
        <v>1.0012266928361138</v>
      </c>
      <c r="O6" s="221" t="s">
        <v>174</v>
      </c>
      <c r="P6" s="425">
        <f t="shared" ref="P6:P10" si="2">ROUND(C6*J6,0)</f>
        <v>0</v>
      </c>
      <c r="Q6" s="425">
        <f t="shared" ref="Q6:Q10" si="3">ROUND(D6*K6,0)</f>
        <v>0</v>
      </c>
      <c r="R6" s="425">
        <f t="shared" ref="R6:R10" si="4">ROUND(E6*L6,0)</f>
        <v>20</v>
      </c>
      <c r="S6" s="425">
        <f t="shared" ref="S6:S10" si="5">ROUND(F6*M6,0)</f>
        <v>0</v>
      </c>
      <c r="T6" s="195">
        <f t="shared" ref="T6:T10" si="6">SUM(P6:S6)</f>
        <v>20</v>
      </c>
    </row>
    <row r="7" spans="2:20">
      <c r="B7" s="221" t="s">
        <v>175</v>
      </c>
      <c r="C7" s="428">
        <v>11902</v>
      </c>
      <c r="D7" s="429">
        <v>391</v>
      </c>
      <c r="E7" s="429">
        <v>14</v>
      </c>
      <c r="F7" s="430">
        <v>144</v>
      </c>
      <c r="G7" s="195">
        <f t="shared" si="1"/>
        <v>12451</v>
      </c>
      <c r="H7" s="3"/>
      <c r="I7" s="221" t="s">
        <v>175</v>
      </c>
      <c r="J7" s="428">
        <v>1.6164405555109578</v>
      </c>
      <c r="K7" s="428">
        <v>1.6164405555109578</v>
      </c>
      <c r="L7" s="428">
        <v>1.6164405555109578</v>
      </c>
      <c r="M7" s="428">
        <v>1.6164405555109578</v>
      </c>
      <c r="O7" s="221" t="s">
        <v>175</v>
      </c>
      <c r="P7" s="425">
        <f t="shared" si="2"/>
        <v>19239</v>
      </c>
      <c r="Q7" s="425">
        <f t="shared" si="3"/>
        <v>632</v>
      </c>
      <c r="R7" s="425">
        <f t="shared" si="4"/>
        <v>23</v>
      </c>
      <c r="S7" s="425">
        <f t="shared" si="5"/>
        <v>233</v>
      </c>
      <c r="T7" s="195">
        <f t="shared" si="6"/>
        <v>20127</v>
      </c>
    </row>
    <row r="8" spans="2:20">
      <c r="B8" s="221" t="s">
        <v>176</v>
      </c>
      <c r="C8" s="428"/>
      <c r="D8" s="429"/>
      <c r="E8" s="429">
        <v>4101</v>
      </c>
      <c r="F8" s="430"/>
      <c r="G8" s="195">
        <f t="shared" si="1"/>
        <v>4101</v>
      </c>
      <c r="H8" s="3"/>
      <c r="I8" s="221" t="s">
        <v>176</v>
      </c>
      <c r="J8" s="428">
        <v>1.0260812975570686</v>
      </c>
      <c r="K8" s="428">
        <v>1.0260812975570686</v>
      </c>
      <c r="L8" s="428">
        <v>1.0260812975570686</v>
      </c>
      <c r="M8" s="428">
        <v>1.0260812975570699</v>
      </c>
      <c r="O8" s="221" t="s">
        <v>176</v>
      </c>
      <c r="P8" s="425">
        <f t="shared" si="2"/>
        <v>0</v>
      </c>
      <c r="Q8" s="425">
        <f t="shared" si="3"/>
        <v>0</v>
      </c>
      <c r="R8" s="425">
        <f t="shared" si="4"/>
        <v>4208</v>
      </c>
      <c r="S8" s="425">
        <f t="shared" si="5"/>
        <v>0</v>
      </c>
      <c r="T8" s="195">
        <f t="shared" si="6"/>
        <v>4208</v>
      </c>
    </row>
    <row r="9" spans="2:20">
      <c r="B9" s="221" t="s">
        <v>177</v>
      </c>
      <c r="C9" s="428">
        <v>105987</v>
      </c>
      <c r="D9" s="429">
        <v>81017</v>
      </c>
      <c r="E9" s="429">
        <v>8161</v>
      </c>
      <c r="F9" s="430"/>
      <c r="G9" s="195">
        <f t="shared" si="1"/>
        <v>195165</v>
      </c>
      <c r="H9" s="3"/>
      <c r="I9" s="221" t="s">
        <v>177</v>
      </c>
      <c r="J9" s="428">
        <v>1.0391883351647413</v>
      </c>
      <c r="K9" s="428">
        <v>1.0391883351647413</v>
      </c>
      <c r="L9" s="428">
        <v>1.0391883351647413</v>
      </c>
      <c r="M9" s="428">
        <v>1.03918833516474</v>
      </c>
      <c r="O9" s="221" t="s">
        <v>177</v>
      </c>
      <c r="P9" s="425">
        <f t="shared" si="2"/>
        <v>110140</v>
      </c>
      <c r="Q9" s="425">
        <f t="shared" si="3"/>
        <v>84192</v>
      </c>
      <c r="R9" s="425">
        <f t="shared" si="4"/>
        <v>8481</v>
      </c>
      <c r="S9" s="425">
        <f t="shared" si="5"/>
        <v>0</v>
      </c>
      <c r="T9" s="195">
        <f t="shared" si="6"/>
        <v>202813</v>
      </c>
    </row>
    <row r="10" spans="2:20">
      <c r="B10" s="221" t="s">
        <v>178</v>
      </c>
      <c r="C10" s="428">
        <v>2</v>
      </c>
      <c r="D10" s="429">
        <v>90</v>
      </c>
      <c r="E10" s="429">
        <v>223</v>
      </c>
      <c r="F10" s="430"/>
      <c r="G10" s="195">
        <f t="shared" si="1"/>
        <v>315</v>
      </c>
      <c r="H10" s="3"/>
      <c r="I10" s="221" t="s">
        <v>178</v>
      </c>
      <c r="J10" s="428">
        <v>1.1331002957784351</v>
      </c>
      <c r="K10" s="428">
        <v>1.1331002957784351</v>
      </c>
      <c r="L10" s="428">
        <v>1.1331002957784351</v>
      </c>
      <c r="M10" s="428">
        <v>1.13310029577844</v>
      </c>
      <c r="O10" s="221" t="s">
        <v>178</v>
      </c>
      <c r="P10" s="425">
        <f t="shared" si="2"/>
        <v>2</v>
      </c>
      <c r="Q10" s="425">
        <f t="shared" si="3"/>
        <v>102</v>
      </c>
      <c r="R10" s="425">
        <f t="shared" si="4"/>
        <v>253</v>
      </c>
      <c r="S10" s="425">
        <f t="shared" si="5"/>
        <v>0</v>
      </c>
      <c r="T10" s="195">
        <f t="shared" si="6"/>
        <v>357</v>
      </c>
    </row>
    <row r="11" spans="2:20">
      <c r="B11" s="222"/>
      <c r="C11" s="579" t="s">
        <v>168</v>
      </c>
      <c r="D11" s="579"/>
      <c r="E11" s="579"/>
      <c r="F11" s="579"/>
      <c r="G11" s="186"/>
      <c r="H11" s="3"/>
      <c r="I11" s="222"/>
      <c r="J11" s="579" t="s">
        <v>168</v>
      </c>
      <c r="K11" s="579"/>
      <c r="L11" s="579"/>
      <c r="M11" s="579"/>
      <c r="O11" s="222"/>
      <c r="P11" s="579" t="s">
        <v>168</v>
      </c>
      <c r="Q11" s="579"/>
      <c r="R11" s="579"/>
      <c r="S11" s="579"/>
      <c r="T11" s="186"/>
    </row>
    <row r="12" spans="2:20">
      <c r="B12" s="220" t="s">
        <v>179</v>
      </c>
      <c r="C12" s="218" t="s">
        <v>169</v>
      </c>
      <c r="D12" s="218" t="s">
        <v>170</v>
      </c>
      <c r="E12" s="218" t="s">
        <v>171</v>
      </c>
      <c r="F12" s="218" t="s">
        <v>172</v>
      </c>
      <c r="G12" s="185" t="s">
        <v>97</v>
      </c>
      <c r="H12" s="3"/>
      <c r="I12" s="220" t="s">
        <v>179</v>
      </c>
      <c r="J12" s="218" t="s">
        <v>169</v>
      </c>
      <c r="K12" s="218" t="s">
        <v>170</v>
      </c>
      <c r="L12" s="218" t="s">
        <v>171</v>
      </c>
      <c r="M12" s="218" t="s">
        <v>172</v>
      </c>
      <c r="O12" s="220" t="s">
        <v>179</v>
      </c>
      <c r="P12" s="218" t="s">
        <v>169</v>
      </c>
      <c r="Q12" s="218" t="s">
        <v>170</v>
      </c>
      <c r="R12" s="218" t="s">
        <v>171</v>
      </c>
      <c r="S12" s="218" t="s">
        <v>172</v>
      </c>
      <c r="T12" s="185" t="s">
        <v>97</v>
      </c>
    </row>
    <row r="13" spans="2:20">
      <c r="B13" s="221" t="s">
        <v>173</v>
      </c>
      <c r="C13" s="425">
        <v>2</v>
      </c>
      <c r="D13" s="426">
        <v>2</v>
      </c>
      <c r="E13" s="426">
        <v>1899</v>
      </c>
      <c r="F13" s="427">
        <v>30</v>
      </c>
      <c r="G13" s="195">
        <f t="shared" ref="G13:G18" si="7">SUM(C13:F13)</f>
        <v>1933</v>
      </c>
      <c r="H13" s="3"/>
      <c r="I13" s="221" t="s">
        <v>173</v>
      </c>
      <c r="J13" s="425">
        <v>1.0878896269800715</v>
      </c>
      <c r="K13" s="426">
        <v>1.0878896269800715</v>
      </c>
      <c r="L13" s="426">
        <v>1.0878896269800715</v>
      </c>
      <c r="M13" s="427">
        <v>1.0878896269800715</v>
      </c>
      <c r="O13" s="221" t="s">
        <v>173</v>
      </c>
      <c r="P13" s="425">
        <f>ROUND(C13*J13,0)</f>
        <v>2</v>
      </c>
      <c r="Q13" s="425">
        <f t="shared" ref="Q13:Q18" si="8">ROUND(D13*K13,0)</f>
        <v>2</v>
      </c>
      <c r="R13" s="425">
        <f t="shared" ref="R13:R18" si="9">ROUND(E13*L13,0)</f>
        <v>2066</v>
      </c>
      <c r="S13" s="425">
        <f t="shared" ref="S13:S18" si="10">ROUND(F13*M13,0)</f>
        <v>33</v>
      </c>
      <c r="T13" s="195">
        <f t="shared" ref="T13:T18" si="11">SUM(P13:S13)</f>
        <v>2103</v>
      </c>
    </row>
    <row r="14" spans="2:20">
      <c r="B14" s="221" t="s">
        <v>174</v>
      </c>
      <c r="C14" s="428">
        <v>3</v>
      </c>
      <c r="D14" s="429">
        <v>2</v>
      </c>
      <c r="E14" s="429">
        <v>4035</v>
      </c>
      <c r="F14" s="430">
        <v>13</v>
      </c>
      <c r="G14" s="195">
        <f t="shared" si="7"/>
        <v>4053</v>
      </c>
      <c r="H14" s="3"/>
      <c r="I14" s="221" t="s">
        <v>174</v>
      </c>
      <c r="J14" s="428">
        <v>1.0012266928361138</v>
      </c>
      <c r="K14" s="428">
        <v>1.0012266928361138</v>
      </c>
      <c r="L14" s="428">
        <v>1.0012266928361138</v>
      </c>
      <c r="M14" s="428">
        <v>1.0012266928361138</v>
      </c>
      <c r="O14" s="221" t="s">
        <v>174</v>
      </c>
      <c r="P14" s="425">
        <f t="shared" ref="P14:P18" si="12">ROUND(C14*J14,0)</f>
        <v>3</v>
      </c>
      <c r="Q14" s="425">
        <f t="shared" si="8"/>
        <v>2</v>
      </c>
      <c r="R14" s="425">
        <f t="shared" si="9"/>
        <v>4040</v>
      </c>
      <c r="S14" s="425">
        <f t="shared" si="10"/>
        <v>13</v>
      </c>
      <c r="T14" s="195">
        <f t="shared" si="11"/>
        <v>4058</v>
      </c>
    </row>
    <row r="15" spans="2:20">
      <c r="B15" s="221" t="s">
        <v>175</v>
      </c>
      <c r="C15" s="428">
        <v>5</v>
      </c>
      <c r="D15" s="429"/>
      <c r="E15" s="429"/>
      <c r="F15" s="430"/>
      <c r="G15" s="195">
        <f t="shared" si="7"/>
        <v>5</v>
      </c>
      <c r="H15" s="3"/>
      <c r="I15" s="221" t="s">
        <v>175</v>
      </c>
      <c r="J15" s="428">
        <v>1.6164405555109578</v>
      </c>
      <c r="K15" s="428">
        <v>1.6164405555109578</v>
      </c>
      <c r="L15" s="428">
        <v>1.6164405555109578</v>
      </c>
      <c r="M15" s="428">
        <v>1.6164405555109578</v>
      </c>
      <c r="O15" s="221" t="s">
        <v>175</v>
      </c>
      <c r="P15" s="425">
        <f t="shared" si="12"/>
        <v>8</v>
      </c>
      <c r="Q15" s="425">
        <f t="shared" si="8"/>
        <v>0</v>
      </c>
      <c r="R15" s="425">
        <f t="shared" si="9"/>
        <v>0</v>
      </c>
      <c r="S15" s="425">
        <f t="shared" si="10"/>
        <v>0</v>
      </c>
      <c r="T15" s="195">
        <f t="shared" si="11"/>
        <v>8</v>
      </c>
    </row>
    <row r="16" spans="2:20">
      <c r="B16" s="221" t="s">
        <v>176</v>
      </c>
      <c r="C16" s="428"/>
      <c r="D16" s="429"/>
      <c r="E16" s="429">
        <v>29824</v>
      </c>
      <c r="F16" s="430">
        <v>429</v>
      </c>
      <c r="G16" s="195">
        <f t="shared" si="7"/>
        <v>30253</v>
      </c>
      <c r="H16" s="3"/>
      <c r="I16" s="221" t="s">
        <v>176</v>
      </c>
      <c r="J16" s="428">
        <v>1.0260812975570686</v>
      </c>
      <c r="K16" s="428">
        <v>1.0260812975570686</v>
      </c>
      <c r="L16" s="428">
        <v>1.0260812975570686</v>
      </c>
      <c r="M16" s="428">
        <v>1.0260812975570699</v>
      </c>
      <c r="O16" s="221" t="s">
        <v>176</v>
      </c>
      <c r="P16" s="425">
        <f t="shared" si="12"/>
        <v>0</v>
      </c>
      <c r="Q16" s="425">
        <f t="shared" si="8"/>
        <v>0</v>
      </c>
      <c r="R16" s="425">
        <f t="shared" si="9"/>
        <v>30602</v>
      </c>
      <c r="S16" s="425">
        <f t="shared" si="10"/>
        <v>440</v>
      </c>
      <c r="T16" s="195">
        <f t="shared" si="11"/>
        <v>31042</v>
      </c>
    </row>
    <row r="17" spans="2:20">
      <c r="B17" s="221" t="s">
        <v>177</v>
      </c>
      <c r="C17" s="428">
        <v>34238</v>
      </c>
      <c r="D17" s="429">
        <v>97274</v>
      </c>
      <c r="E17" s="429">
        <v>19513</v>
      </c>
      <c r="F17" s="430">
        <v>1317</v>
      </c>
      <c r="G17" s="195">
        <f t="shared" si="7"/>
        <v>152342</v>
      </c>
      <c r="H17" s="3"/>
      <c r="I17" s="221" t="s">
        <v>177</v>
      </c>
      <c r="J17" s="428">
        <v>1.0391883351647413</v>
      </c>
      <c r="K17" s="428">
        <v>1.0391883351647413</v>
      </c>
      <c r="L17" s="428">
        <v>1.0391883351647413</v>
      </c>
      <c r="M17" s="428">
        <v>1.03918833516474</v>
      </c>
      <c r="O17" s="221" t="s">
        <v>177</v>
      </c>
      <c r="P17" s="425">
        <f t="shared" si="12"/>
        <v>35580</v>
      </c>
      <c r="Q17" s="425">
        <f t="shared" si="8"/>
        <v>101086</v>
      </c>
      <c r="R17" s="425">
        <f t="shared" si="9"/>
        <v>20278</v>
      </c>
      <c r="S17" s="425">
        <f t="shared" si="10"/>
        <v>1369</v>
      </c>
      <c r="T17" s="195">
        <f t="shared" si="11"/>
        <v>158313</v>
      </c>
    </row>
    <row r="18" spans="2:20">
      <c r="B18" s="221" t="s">
        <v>178</v>
      </c>
      <c r="C18" s="428">
        <v>37</v>
      </c>
      <c r="D18" s="429">
        <v>327</v>
      </c>
      <c r="E18" s="429">
        <v>2783</v>
      </c>
      <c r="F18" s="430">
        <v>203</v>
      </c>
      <c r="G18" s="195">
        <f t="shared" si="7"/>
        <v>3350</v>
      </c>
      <c r="H18" s="3"/>
      <c r="I18" s="221" t="s">
        <v>178</v>
      </c>
      <c r="J18" s="428">
        <v>1.1331002957784351</v>
      </c>
      <c r="K18" s="428">
        <v>1.1331002957784351</v>
      </c>
      <c r="L18" s="428">
        <v>1.1331002957784351</v>
      </c>
      <c r="M18" s="428">
        <v>1.13310029577844</v>
      </c>
      <c r="O18" s="221" t="s">
        <v>178</v>
      </c>
      <c r="P18" s="425">
        <f t="shared" si="12"/>
        <v>42</v>
      </c>
      <c r="Q18" s="425">
        <f t="shared" si="8"/>
        <v>371</v>
      </c>
      <c r="R18" s="425">
        <f t="shared" si="9"/>
        <v>3153</v>
      </c>
      <c r="S18" s="425">
        <f t="shared" si="10"/>
        <v>230</v>
      </c>
      <c r="T18" s="195">
        <f t="shared" si="11"/>
        <v>3796</v>
      </c>
    </row>
    <row r="19" spans="2:20">
      <c r="B19" s="222"/>
      <c r="C19" s="579" t="s">
        <v>166</v>
      </c>
      <c r="D19" s="579"/>
      <c r="E19" s="579"/>
      <c r="F19" s="192"/>
      <c r="G19" s="186"/>
      <c r="H19" s="3"/>
      <c r="I19" s="222"/>
      <c r="J19" s="579" t="s">
        <v>166</v>
      </c>
      <c r="K19" s="579"/>
      <c r="L19" s="579"/>
      <c r="M19" s="192"/>
      <c r="O19" s="222"/>
      <c r="P19" s="579" t="s">
        <v>166</v>
      </c>
      <c r="Q19" s="579"/>
      <c r="R19" s="579"/>
      <c r="S19" s="192"/>
      <c r="T19" s="186"/>
    </row>
    <row r="20" spans="2:20">
      <c r="B20" s="220" t="s">
        <v>179</v>
      </c>
      <c r="C20" s="218" t="s">
        <v>169</v>
      </c>
      <c r="D20" s="218" t="s">
        <v>170</v>
      </c>
      <c r="E20" s="218" t="s">
        <v>171</v>
      </c>
      <c r="F20" s="218" t="s">
        <v>172</v>
      </c>
      <c r="G20" s="185" t="s">
        <v>97</v>
      </c>
      <c r="H20" s="3"/>
      <c r="I20" s="220" t="s">
        <v>179</v>
      </c>
      <c r="J20" s="218" t="s">
        <v>169</v>
      </c>
      <c r="K20" s="218" t="s">
        <v>170</v>
      </c>
      <c r="L20" s="218" t="s">
        <v>171</v>
      </c>
      <c r="M20" s="218" t="s">
        <v>172</v>
      </c>
      <c r="O20" s="220" t="s">
        <v>179</v>
      </c>
      <c r="P20" s="218" t="s">
        <v>169</v>
      </c>
      <c r="Q20" s="218" t="s">
        <v>170</v>
      </c>
      <c r="R20" s="218" t="s">
        <v>171</v>
      </c>
      <c r="S20" s="218" t="s">
        <v>172</v>
      </c>
      <c r="T20" s="185" t="s">
        <v>97</v>
      </c>
    </row>
    <row r="21" spans="2:20">
      <c r="B21" s="221" t="s">
        <v>173</v>
      </c>
      <c r="C21" s="425"/>
      <c r="D21" s="426"/>
      <c r="E21" s="426"/>
      <c r="F21" s="427"/>
      <c r="G21" s="195">
        <f t="shared" ref="G21:G26" si="13">SUM(C21:F21)</f>
        <v>0</v>
      </c>
      <c r="H21" s="3"/>
      <c r="I21" s="221" t="s">
        <v>173</v>
      </c>
      <c r="J21" s="425">
        <v>1.0878896269800715</v>
      </c>
      <c r="K21" s="426">
        <v>1.0878896269800715</v>
      </c>
      <c r="L21" s="426">
        <v>1.0878896269800715</v>
      </c>
      <c r="M21" s="427">
        <v>1.0878896269800715</v>
      </c>
      <c r="O21" s="221" t="s">
        <v>173</v>
      </c>
      <c r="P21" s="425">
        <f>ROUND(C21*J21,0)</f>
        <v>0</v>
      </c>
      <c r="Q21" s="425">
        <f t="shared" ref="Q21:Q26" si="14">ROUND(D21*K21,0)</f>
        <v>0</v>
      </c>
      <c r="R21" s="425">
        <f t="shared" ref="R21:R26" si="15">ROUND(E21*L21,0)</f>
        <v>0</v>
      </c>
      <c r="S21" s="425">
        <f t="shared" ref="S21:S26" si="16">ROUND(F21*M21,0)</f>
        <v>0</v>
      </c>
      <c r="T21" s="195">
        <f t="shared" ref="T21:T26" si="17">SUM(P21:S21)</f>
        <v>0</v>
      </c>
    </row>
    <row r="22" spans="2:20">
      <c r="B22" s="221" t="s">
        <v>174</v>
      </c>
      <c r="C22" s="428"/>
      <c r="D22" s="429"/>
      <c r="E22" s="429">
        <v>3</v>
      </c>
      <c r="F22" s="430"/>
      <c r="G22" s="195">
        <f t="shared" si="13"/>
        <v>3</v>
      </c>
      <c r="H22" s="3"/>
      <c r="I22" s="221" t="s">
        <v>174</v>
      </c>
      <c r="J22" s="428">
        <v>1.0012266928361138</v>
      </c>
      <c r="K22" s="428">
        <v>1.0012266928361138</v>
      </c>
      <c r="L22" s="428">
        <v>1.0012266928361138</v>
      </c>
      <c r="M22" s="428">
        <v>1.0012266928361138</v>
      </c>
      <c r="O22" s="221" t="s">
        <v>174</v>
      </c>
      <c r="P22" s="425">
        <f t="shared" ref="P22:P26" si="18">ROUND(C22*J22,0)</f>
        <v>0</v>
      </c>
      <c r="Q22" s="425">
        <f t="shared" si="14"/>
        <v>0</v>
      </c>
      <c r="R22" s="425">
        <f t="shared" si="15"/>
        <v>3</v>
      </c>
      <c r="S22" s="425">
        <f t="shared" si="16"/>
        <v>0</v>
      </c>
      <c r="T22" s="195">
        <f t="shared" si="17"/>
        <v>3</v>
      </c>
    </row>
    <row r="23" spans="2:20">
      <c r="B23" s="221" t="s">
        <v>175</v>
      </c>
      <c r="C23" s="428"/>
      <c r="D23" s="429">
        <v>1</v>
      </c>
      <c r="E23" s="429"/>
      <c r="F23" s="430"/>
      <c r="G23" s="195">
        <f t="shared" si="13"/>
        <v>1</v>
      </c>
      <c r="H23" s="3"/>
      <c r="I23" s="221" t="s">
        <v>175</v>
      </c>
      <c r="J23" s="428">
        <v>1.6164405555109578</v>
      </c>
      <c r="K23" s="428">
        <v>1.6164405555109578</v>
      </c>
      <c r="L23" s="428">
        <v>1.6164405555109578</v>
      </c>
      <c r="M23" s="428">
        <v>1.6164405555109578</v>
      </c>
      <c r="O23" s="221" t="s">
        <v>175</v>
      </c>
      <c r="P23" s="425">
        <f t="shared" si="18"/>
        <v>0</v>
      </c>
      <c r="Q23" s="425">
        <f t="shared" si="14"/>
        <v>2</v>
      </c>
      <c r="R23" s="425">
        <f t="shared" si="15"/>
        <v>0</v>
      </c>
      <c r="S23" s="425">
        <f t="shared" si="16"/>
        <v>0</v>
      </c>
      <c r="T23" s="195">
        <f t="shared" si="17"/>
        <v>2</v>
      </c>
    </row>
    <row r="24" spans="2:20">
      <c r="B24" s="221" t="s">
        <v>176</v>
      </c>
      <c r="C24" s="428">
        <v>1188</v>
      </c>
      <c r="D24" s="429">
        <v>839</v>
      </c>
      <c r="E24" s="429">
        <v>340</v>
      </c>
      <c r="F24" s="430"/>
      <c r="G24" s="195">
        <f t="shared" si="13"/>
        <v>2367</v>
      </c>
      <c r="H24" s="3"/>
      <c r="I24" s="221" t="s">
        <v>176</v>
      </c>
      <c r="J24" s="428">
        <v>1.0260812975570686</v>
      </c>
      <c r="K24" s="428">
        <v>1.0260812975570686</v>
      </c>
      <c r="L24" s="428">
        <v>1.0260812975570686</v>
      </c>
      <c r="M24" s="428">
        <v>1.0260812975570699</v>
      </c>
      <c r="O24" s="221" t="s">
        <v>176</v>
      </c>
      <c r="P24" s="425">
        <f t="shared" si="18"/>
        <v>1219</v>
      </c>
      <c r="Q24" s="425">
        <f t="shared" si="14"/>
        <v>861</v>
      </c>
      <c r="R24" s="425">
        <f t="shared" si="15"/>
        <v>349</v>
      </c>
      <c r="S24" s="425">
        <f t="shared" si="16"/>
        <v>0</v>
      </c>
      <c r="T24" s="195">
        <f t="shared" si="17"/>
        <v>2429</v>
      </c>
    </row>
    <row r="25" spans="2:20">
      <c r="B25" s="221" t="s">
        <v>177</v>
      </c>
      <c r="C25" s="428">
        <v>6742</v>
      </c>
      <c r="D25" s="429">
        <v>16380</v>
      </c>
      <c r="E25" s="429">
        <v>3319</v>
      </c>
      <c r="F25" s="430"/>
      <c r="G25" s="195">
        <f t="shared" si="13"/>
        <v>26441</v>
      </c>
      <c r="H25" s="3"/>
      <c r="I25" s="221" t="s">
        <v>177</v>
      </c>
      <c r="J25" s="428">
        <v>1.0391883351647413</v>
      </c>
      <c r="K25" s="428">
        <v>1.0391883351647413</v>
      </c>
      <c r="L25" s="428">
        <v>1.0391883351647413</v>
      </c>
      <c r="M25" s="428">
        <v>1.03918833516474</v>
      </c>
      <c r="O25" s="221" t="s">
        <v>177</v>
      </c>
      <c r="P25" s="425">
        <f t="shared" si="18"/>
        <v>7006</v>
      </c>
      <c r="Q25" s="425">
        <f t="shared" si="14"/>
        <v>17022</v>
      </c>
      <c r="R25" s="425">
        <f t="shared" si="15"/>
        <v>3449</v>
      </c>
      <c r="S25" s="425">
        <f t="shared" si="16"/>
        <v>0</v>
      </c>
      <c r="T25" s="195">
        <f t="shared" si="17"/>
        <v>27477</v>
      </c>
    </row>
    <row r="26" spans="2:20">
      <c r="B26" s="221" t="s">
        <v>178</v>
      </c>
      <c r="C26" s="428">
        <v>10</v>
      </c>
      <c r="D26" s="429">
        <v>20</v>
      </c>
      <c r="E26" s="429">
        <v>19</v>
      </c>
      <c r="F26" s="430"/>
      <c r="G26" s="195">
        <f t="shared" si="13"/>
        <v>49</v>
      </c>
      <c r="H26" s="3"/>
      <c r="I26" s="221" t="s">
        <v>178</v>
      </c>
      <c r="J26" s="428">
        <v>1.1331002957784351</v>
      </c>
      <c r="K26" s="428">
        <v>1.1331002957784351</v>
      </c>
      <c r="L26" s="428">
        <v>1.1331002957784351</v>
      </c>
      <c r="M26" s="428">
        <v>1.13310029577844</v>
      </c>
      <c r="O26" s="221" t="s">
        <v>178</v>
      </c>
      <c r="P26" s="425">
        <f t="shared" si="18"/>
        <v>11</v>
      </c>
      <c r="Q26" s="425">
        <f t="shared" si="14"/>
        <v>23</v>
      </c>
      <c r="R26" s="425">
        <f t="shared" si="15"/>
        <v>22</v>
      </c>
      <c r="S26" s="425">
        <f t="shared" si="16"/>
        <v>0</v>
      </c>
      <c r="T26" s="195">
        <f t="shared" si="17"/>
        <v>56</v>
      </c>
    </row>
    <row r="27" spans="2:20">
      <c r="B27" s="222"/>
      <c r="C27" s="579" t="s">
        <v>167</v>
      </c>
      <c r="D27" s="579"/>
      <c r="E27" s="579"/>
      <c r="F27" s="579"/>
      <c r="G27" s="186"/>
      <c r="H27" s="3"/>
      <c r="I27" s="222"/>
      <c r="J27" s="579" t="s">
        <v>167</v>
      </c>
      <c r="K27" s="579"/>
      <c r="L27" s="579"/>
      <c r="M27" s="579"/>
      <c r="O27" s="222"/>
      <c r="P27" s="579" t="s">
        <v>167</v>
      </c>
      <c r="Q27" s="579"/>
      <c r="R27" s="579"/>
      <c r="S27" s="579"/>
      <c r="T27" s="186"/>
    </row>
    <row r="28" spans="2:20">
      <c r="B28" s="220" t="s">
        <v>179</v>
      </c>
      <c r="C28" s="218" t="s">
        <v>169</v>
      </c>
      <c r="D28" s="218" t="s">
        <v>170</v>
      </c>
      <c r="E28" s="218" t="s">
        <v>171</v>
      </c>
      <c r="F28" s="218" t="s">
        <v>172</v>
      </c>
      <c r="G28" s="185" t="s">
        <v>97</v>
      </c>
      <c r="H28" s="3"/>
      <c r="I28" s="220" t="s">
        <v>179</v>
      </c>
      <c r="J28" s="218" t="s">
        <v>169</v>
      </c>
      <c r="K28" s="218" t="s">
        <v>170</v>
      </c>
      <c r="L28" s="218" t="s">
        <v>171</v>
      </c>
      <c r="M28" s="218" t="s">
        <v>172</v>
      </c>
      <c r="O28" s="220" t="s">
        <v>179</v>
      </c>
      <c r="P28" s="218" t="s">
        <v>169</v>
      </c>
      <c r="Q28" s="218" t="s">
        <v>170</v>
      </c>
      <c r="R28" s="218" t="s">
        <v>171</v>
      </c>
      <c r="S28" s="218" t="s">
        <v>172</v>
      </c>
      <c r="T28" s="185" t="s">
        <v>97</v>
      </c>
    </row>
    <row r="29" spans="2:20">
      <c r="B29" s="221" t="s">
        <v>173</v>
      </c>
      <c r="C29" s="425"/>
      <c r="D29" s="426"/>
      <c r="E29" s="426">
        <v>5</v>
      </c>
      <c r="F29" s="427"/>
      <c r="G29" s="195">
        <f t="shared" ref="G29:G34" si="19">SUM(C29:F29)</f>
        <v>5</v>
      </c>
      <c r="H29" s="3"/>
      <c r="I29" s="221" t="s">
        <v>173</v>
      </c>
      <c r="J29" s="425">
        <v>1.0878896269800715</v>
      </c>
      <c r="K29" s="426">
        <v>1.0878896269800715</v>
      </c>
      <c r="L29" s="426">
        <v>1.0878896269800715</v>
      </c>
      <c r="M29" s="427">
        <v>1.0878896269800715</v>
      </c>
      <c r="O29" s="221" t="s">
        <v>173</v>
      </c>
      <c r="P29" s="425">
        <f>ROUND(C29*J29,0)</f>
        <v>0</v>
      </c>
      <c r="Q29" s="425">
        <f t="shared" ref="Q29:Q34" si="20">ROUND(D29*K29,0)</f>
        <v>0</v>
      </c>
      <c r="R29" s="425">
        <f t="shared" ref="R29:R34" si="21">ROUND(E29*L29,0)</f>
        <v>5</v>
      </c>
      <c r="S29" s="425">
        <f t="shared" ref="S29:S34" si="22">ROUND(F29*M29,0)</f>
        <v>0</v>
      </c>
      <c r="T29" s="195">
        <f t="shared" ref="T29:T34" si="23">SUM(P29:S29)</f>
        <v>5</v>
      </c>
    </row>
    <row r="30" spans="2:20">
      <c r="B30" s="221" t="s">
        <v>174</v>
      </c>
      <c r="C30" s="428"/>
      <c r="D30" s="429"/>
      <c r="E30" s="429"/>
      <c r="F30" s="430"/>
      <c r="G30" s="195">
        <f t="shared" si="19"/>
        <v>0</v>
      </c>
      <c r="H30" s="3"/>
      <c r="I30" s="221" t="s">
        <v>174</v>
      </c>
      <c r="J30" s="428">
        <v>1.0012266928361138</v>
      </c>
      <c r="K30" s="428">
        <v>1.0012266928361138</v>
      </c>
      <c r="L30" s="428">
        <v>1.0012266928361138</v>
      </c>
      <c r="M30" s="428">
        <v>1.0012266928361138</v>
      </c>
      <c r="O30" s="221" t="s">
        <v>174</v>
      </c>
      <c r="P30" s="425">
        <f t="shared" ref="P30:P34" si="24">ROUND(C30*J30,0)</f>
        <v>0</v>
      </c>
      <c r="Q30" s="425">
        <f t="shared" si="20"/>
        <v>0</v>
      </c>
      <c r="R30" s="425">
        <f t="shared" si="21"/>
        <v>0</v>
      </c>
      <c r="S30" s="425">
        <f t="shared" si="22"/>
        <v>0</v>
      </c>
      <c r="T30" s="195">
        <f t="shared" si="23"/>
        <v>0</v>
      </c>
    </row>
    <row r="31" spans="2:20">
      <c r="B31" s="221" t="s">
        <v>175</v>
      </c>
      <c r="C31" s="428"/>
      <c r="D31" s="429"/>
      <c r="E31" s="429"/>
      <c r="F31" s="430"/>
      <c r="G31" s="195">
        <f t="shared" si="19"/>
        <v>0</v>
      </c>
      <c r="H31" s="3"/>
      <c r="I31" s="221" t="s">
        <v>175</v>
      </c>
      <c r="J31" s="428">
        <v>1.6164405555109578</v>
      </c>
      <c r="K31" s="428">
        <v>1.6164405555109578</v>
      </c>
      <c r="L31" s="428">
        <v>1.6164405555109578</v>
      </c>
      <c r="M31" s="428">
        <v>1.6164405555109578</v>
      </c>
      <c r="O31" s="221" t="s">
        <v>175</v>
      </c>
      <c r="P31" s="425">
        <f t="shared" si="24"/>
        <v>0</v>
      </c>
      <c r="Q31" s="425">
        <f t="shared" si="20"/>
        <v>0</v>
      </c>
      <c r="R31" s="425">
        <f t="shared" si="21"/>
        <v>0</v>
      </c>
      <c r="S31" s="425">
        <f t="shared" si="22"/>
        <v>0</v>
      </c>
      <c r="T31" s="195">
        <f t="shared" si="23"/>
        <v>0</v>
      </c>
    </row>
    <row r="32" spans="2:20">
      <c r="B32" s="221" t="s">
        <v>176</v>
      </c>
      <c r="C32" s="428">
        <v>49</v>
      </c>
      <c r="D32" s="429">
        <v>64</v>
      </c>
      <c r="E32" s="429">
        <v>47</v>
      </c>
      <c r="F32" s="430"/>
      <c r="G32" s="195">
        <f t="shared" si="19"/>
        <v>160</v>
      </c>
      <c r="H32" s="3"/>
      <c r="I32" s="221" t="s">
        <v>176</v>
      </c>
      <c r="J32" s="428">
        <v>1.0260812975570686</v>
      </c>
      <c r="K32" s="428">
        <v>1.0260812975570686</v>
      </c>
      <c r="L32" s="428">
        <v>1.0260812975570686</v>
      </c>
      <c r="M32" s="428">
        <v>1.0260812975570699</v>
      </c>
      <c r="O32" s="221" t="s">
        <v>176</v>
      </c>
      <c r="P32" s="425">
        <f t="shared" si="24"/>
        <v>50</v>
      </c>
      <c r="Q32" s="425">
        <f t="shared" si="20"/>
        <v>66</v>
      </c>
      <c r="R32" s="425">
        <f t="shared" si="21"/>
        <v>48</v>
      </c>
      <c r="S32" s="425">
        <f t="shared" si="22"/>
        <v>0</v>
      </c>
      <c r="T32" s="195">
        <f t="shared" si="23"/>
        <v>164</v>
      </c>
    </row>
    <row r="33" spans="2:20">
      <c r="B33" s="221" t="s">
        <v>177</v>
      </c>
      <c r="C33" s="428">
        <v>30</v>
      </c>
      <c r="D33" s="429">
        <v>109</v>
      </c>
      <c r="E33" s="429">
        <v>11</v>
      </c>
      <c r="F33" s="430"/>
      <c r="G33" s="195">
        <f t="shared" si="19"/>
        <v>150</v>
      </c>
      <c r="H33" s="3"/>
      <c r="I33" s="221" t="s">
        <v>177</v>
      </c>
      <c r="J33" s="428">
        <v>1.0391883351647413</v>
      </c>
      <c r="K33" s="428">
        <v>1.0391883351647413</v>
      </c>
      <c r="L33" s="428">
        <v>1.0391883351647413</v>
      </c>
      <c r="M33" s="428">
        <v>1.03918833516474</v>
      </c>
      <c r="O33" s="221" t="s">
        <v>177</v>
      </c>
      <c r="P33" s="425">
        <f t="shared" si="24"/>
        <v>31</v>
      </c>
      <c r="Q33" s="425">
        <f t="shared" si="20"/>
        <v>113</v>
      </c>
      <c r="R33" s="425">
        <f t="shared" si="21"/>
        <v>11</v>
      </c>
      <c r="S33" s="425">
        <f t="shared" si="22"/>
        <v>0</v>
      </c>
      <c r="T33" s="195">
        <f t="shared" si="23"/>
        <v>155</v>
      </c>
    </row>
    <row r="34" spans="2:20">
      <c r="B34" s="221" t="s">
        <v>178</v>
      </c>
      <c r="C34" s="428">
        <v>2</v>
      </c>
      <c r="D34" s="429"/>
      <c r="E34" s="429">
        <v>3</v>
      </c>
      <c r="F34" s="430"/>
      <c r="G34" s="195">
        <f t="shared" si="19"/>
        <v>5</v>
      </c>
      <c r="H34" s="3"/>
      <c r="I34" s="221" t="s">
        <v>178</v>
      </c>
      <c r="J34" s="428">
        <v>1.1331002957784351</v>
      </c>
      <c r="K34" s="428">
        <v>1.1331002957784351</v>
      </c>
      <c r="L34" s="428">
        <v>1.1331002957784351</v>
      </c>
      <c r="M34" s="428">
        <v>1.13310029577844</v>
      </c>
      <c r="O34" s="221" t="s">
        <v>178</v>
      </c>
      <c r="P34" s="425">
        <f t="shared" si="24"/>
        <v>2</v>
      </c>
      <c r="Q34" s="425">
        <f t="shared" si="20"/>
        <v>0</v>
      </c>
      <c r="R34" s="425">
        <f t="shared" si="21"/>
        <v>3</v>
      </c>
      <c r="S34" s="425">
        <f t="shared" si="22"/>
        <v>0</v>
      </c>
      <c r="T34" s="195">
        <f t="shared" si="23"/>
        <v>5</v>
      </c>
    </row>
    <row r="35" spans="2:20">
      <c r="B35" s="222"/>
      <c r="C35" s="579" t="s">
        <v>163</v>
      </c>
      <c r="D35" s="579"/>
      <c r="E35" s="579"/>
      <c r="F35" s="579"/>
      <c r="G35" s="186"/>
      <c r="H35" s="3"/>
      <c r="I35" s="222"/>
      <c r="J35" s="579" t="s">
        <v>163</v>
      </c>
      <c r="K35" s="579"/>
      <c r="L35" s="579"/>
      <c r="M35" s="579"/>
      <c r="O35" s="222"/>
      <c r="P35" s="579" t="s">
        <v>163</v>
      </c>
      <c r="Q35" s="579"/>
      <c r="R35" s="579"/>
      <c r="S35" s="579"/>
      <c r="T35" s="186"/>
    </row>
    <row r="36" spans="2:20">
      <c r="B36" s="220" t="s">
        <v>179</v>
      </c>
      <c r="C36" s="218" t="s">
        <v>169</v>
      </c>
      <c r="D36" s="218" t="s">
        <v>170</v>
      </c>
      <c r="E36" s="218" t="s">
        <v>171</v>
      </c>
      <c r="F36" s="218" t="s">
        <v>172</v>
      </c>
      <c r="G36" s="185" t="s">
        <v>97</v>
      </c>
      <c r="H36" s="3"/>
      <c r="I36" s="220" t="s">
        <v>179</v>
      </c>
      <c r="J36" s="218" t="s">
        <v>169</v>
      </c>
      <c r="K36" s="218" t="s">
        <v>170</v>
      </c>
      <c r="L36" s="218" t="s">
        <v>171</v>
      </c>
      <c r="M36" s="218" t="s">
        <v>172</v>
      </c>
      <c r="O36" s="220" t="s">
        <v>179</v>
      </c>
      <c r="P36" s="218" t="s">
        <v>169</v>
      </c>
      <c r="Q36" s="218" t="s">
        <v>170</v>
      </c>
      <c r="R36" s="218" t="s">
        <v>171</v>
      </c>
      <c r="S36" s="218" t="s">
        <v>172</v>
      </c>
      <c r="T36" s="185" t="s">
        <v>97</v>
      </c>
    </row>
    <row r="37" spans="2:20">
      <c r="B37" s="221" t="s">
        <v>173</v>
      </c>
      <c r="C37" s="425"/>
      <c r="D37" s="426"/>
      <c r="E37" s="426"/>
      <c r="F37" s="427"/>
      <c r="G37" s="195">
        <f t="shared" ref="G37:G42" si="25">SUM(C37:F37)</f>
        <v>0</v>
      </c>
      <c r="H37" s="3"/>
      <c r="I37" s="221" t="s">
        <v>173</v>
      </c>
      <c r="J37" s="425">
        <v>1.0878896269800715</v>
      </c>
      <c r="K37" s="426">
        <v>1.0878896269800715</v>
      </c>
      <c r="L37" s="426">
        <v>1.0878896269800715</v>
      </c>
      <c r="M37" s="427">
        <v>1.0878896269800715</v>
      </c>
      <c r="O37" s="221" t="s">
        <v>173</v>
      </c>
      <c r="P37" s="425">
        <f>ROUND(C37*J37,0)</f>
        <v>0</v>
      </c>
      <c r="Q37" s="425">
        <f t="shared" ref="Q37:Q42" si="26">ROUND(D37*K37,0)</f>
        <v>0</v>
      </c>
      <c r="R37" s="425">
        <f t="shared" ref="R37:R42" si="27">ROUND(E37*L37,0)</f>
        <v>0</v>
      </c>
      <c r="S37" s="425">
        <f t="shared" ref="S37:S42" si="28">ROUND(F37*M37,0)</f>
        <v>0</v>
      </c>
      <c r="T37" s="195">
        <f t="shared" ref="T37:T42" si="29">SUM(P37:S37)</f>
        <v>0</v>
      </c>
    </row>
    <row r="38" spans="2:20">
      <c r="B38" s="221" t="s">
        <v>174</v>
      </c>
      <c r="C38" s="428"/>
      <c r="D38" s="429"/>
      <c r="E38" s="429"/>
      <c r="F38" s="430"/>
      <c r="G38" s="195">
        <f t="shared" si="25"/>
        <v>0</v>
      </c>
      <c r="H38" s="3"/>
      <c r="I38" s="221" t="s">
        <v>174</v>
      </c>
      <c r="J38" s="428">
        <v>1.0012266928361138</v>
      </c>
      <c r="K38" s="428">
        <v>1.0012266928361138</v>
      </c>
      <c r="L38" s="428">
        <v>1.0012266928361138</v>
      </c>
      <c r="M38" s="428">
        <v>1.0012266928361138</v>
      </c>
      <c r="O38" s="221" t="s">
        <v>174</v>
      </c>
      <c r="P38" s="425">
        <f t="shared" ref="P38:P42" si="30">ROUND(C38*J38,0)</f>
        <v>0</v>
      </c>
      <c r="Q38" s="425">
        <f t="shared" si="26"/>
        <v>0</v>
      </c>
      <c r="R38" s="425">
        <f t="shared" si="27"/>
        <v>0</v>
      </c>
      <c r="S38" s="425">
        <f t="shared" si="28"/>
        <v>0</v>
      </c>
      <c r="T38" s="195">
        <f t="shared" si="29"/>
        <v>0</v>
      </c>
    </row>
    <row r="39" spans="2:20">
      <c r="B39" s="221" t="s">
        <v>175</v>
      </c>
      <c r="C39" s="428"/>
      <c r="D39" s="429"/>
      <c r="E39" s="429"/>
      <c r="F39" s="430"/>
      <c r="G39" s="195">
        <f t="shared" si="25"/>
        <v>0</v>
      </c>
      <c r="H39" s="3"/>
      <c r="I39" s="221" t="s">
        <v>175</v>
      </c>
      <c r="J39" s="428">
        <v>1.6164405555109578</v>
      </c>
      <c r="K39" s="428">
        <v>1.6164405555109578</v>
      </c>
      <c r="L39" s="428">
        <v>1.6164405555109578</v>
      </c>
      <c r="M39" s="428">
        <v>1.6164405555109578</v>
      </c>
      <c r="O39" s="221" t="s">
        <v>175</v>
      </c>
      <c r="P39" s="425">
        <f t="shared" si="30"/>
        <v>0</v>
      </c>
      <c r="Q39" s="425">
        <f t="shared" si="26"/>
        <v>0</v>
      </c>
      <c r="R39" s="425">
        <f t="shared" si="27"/>
        <v>0</v>
      </c>
      <c r="S39" s="425">
        <f t="shared" si="28"/>
        <v>0</v>
      </c>
      <c r="T39" s="195">
        <f t="shared" si="29"/>
        <v>0</v>
      </c>
    </row>
    <row r="40" spans="2:20">
      <c r="B40" s="221" t="s">
        <v>176</v>
      </c>
      <c r="C40" s="428"/>
      <c r="D40" s="429"/>
      <c r="E40" s="429"/>
      <c r="F40" s="430"/>
      <c r="G40" s="195">
        <f t="shared" si="25"/>
        <v>0</v>
      </c>
      <c r="H40" s="3"/>
      <c r="I40" s="221" t="s">
        <v>176</v>
      </c>
      <c r="J40" s="428">
        <v>1.0260812975570686</v>
      </c>
      <c r="K40" s="428">
        <v>1.0260812975570686</v>
      </c>
      <c r="L40" s="428">
        <v>1.0260812975570686</v>
      </c>
      <c r="M40" s="428">
        <v>1.0260812975570699</v>
      </c>
      <c r="O40" s="221" t="s">
        <v>176</v>
      </c>
      <c r="P40" s="425">
        <f t="shared" si="30"/>
        <v>0</v>
      </c>
      <c r="Q40" s="425">
        <f t="shared" si="26"/>
        <v>0</v>
      </c>
      <c r="R40" s="425">
        <f t="shared" si="27"/>
        <v>0</v>
      </c>
      <c r="S40" s="425">
        <f t="shared" si="28"/>
        <v>0</v>
      </c>
      <c r="T40" s="195">
        <f t="shared" si="29"/>
        <v>0</v>
      </c>
    </row>
    <row r="41" spans="2:20">
      <c r="B41" s="221" t="s">
        <v>177</v>
      </c>
      <c r="C41" s="428"/>
      <c r="D41" s="429">
        <v>1</v>
      </c>
      <c r="E41" s="429"/>
      <c r="F41" s="430"/>
      <c r="G41" s="195">
        <f t="shared" si="25"/>
        <v>1</v>
      </c>
      <c r="H41" s="3"/>
      <c r="I41" s="221" t="s">
        <v>177</v>
      </c>
      <c r="J41" s="428">
        <v>1.0391883351647413</v>
      </c>
      <c r="K41" s="428">
        <v>1.0391883351647413</v>
      </c>
      <c r="L41" s="428">
        <v>1.0391883351647413</v>
      </c>
      <c r="M41" s="428">
        <v>1.03918833516474</v>
      </c>
      <c r="O41" s="221" t="s">
        <v>177</v>
      </c>
      <c r="P41" s="425">
        <f t="shared" si="30"/>
        <v>0</v>
      </c>
      <c r="Q41" s="425">
        <f t="shared" si="26"/>
        <v>1</v>
      </c>
      <c r="R41" s="425">
        <f t="shared" si="27"/>
        <v>0</v>
      </c>
      <c r="S41" s="425">
        <f t="shared" si="28"/>
        <v>0</v>
      </c>
      <c r="T41" s="195">
        <f t="shared" si="29"/>
        <v>1</v>
      </c>
    </row>
    <row r="42" spans="2:20">
      <c r="B42" s="221" t="s">
        <v>178</v>
      </c>
      <c r="C42" s="428"/>
      <c r="D42" s="429"/>
      <c r="E42" s="429"/>
      <c r="F42" s="430"/>
      <c r="G42" s="195">
        <f t="shared" si="25"/>
        <v>0</v>
      </c>
      <c r="H42" s="3"/>
      <c r="I42" s="221" t="s">
        <v>178</v>
      </c>
      <c r="J42" s="428">
        <v>1.1331002957784351</v>
      </c>
      <c r="K42" s="428">
        <v>1.1331002957784351</v>
      </c>
      <c r="L42" s="428">
        <v>1.1331002957784351</v>
      </c>
      <c r="M42" s="428">
        <v>1.13310029577844</v>
      </c>
      <c r="O42" s="221" t="s">
        <v>178</v>
      </c>
      <c r="P42" s="425">
        <f t="shared" si="30"/>
        <v>0</v>
      </c>
      <c r="Q42" s="425">
        <f t="shared" si="26"/>
        <v>0</v>
      </c>
      <c r="R42" s="425">
        <f t="shared" si="27"/>
        <v>0</v>
      </c>
      <c r="S42" s="425">
        <f t="shared" si="28"/>
        <v>0</v>
      </c>
      <c r="T42" s="195">
        <f t="shared" si="29"/>
        <v>0</v>
      </c>
    </row>
    <row r="43" spans="2:20">
      <c r="B43" s="222"/>
      <c r="C43" s="579" t="s">
        <v>165</v>
      </c>
      <c r="D43" s="579"/>
      <c r="E43" s="579"/>
      <c r="F43" s="579"/>
      <c r="G43" s="186"/>
      <c r="H43" s="3"/>
      <c r="I43" s="222"/>
      <c r="J43" s="579" t="s">
        <v>165</v>
      </c>
      <c r="K43" s="579"/>
      <c r="L43" s="579"/>
      <c r="M43" s="579"/>
      <c r="O43" s="222"/>
      <c r="P43" s="579" t="s">
        <v>165</v>
      </c>
      <c r="Q43" s="579"/>
      <c r="R43" s="579"/>
      <c r="S43" s="579"/>
      <c r="T43" s="186"/>
    </row>
    <row r="44" spans="2:20">
      <c r="B44" s="220" t="s">
        <v>179</v>
      </c>
      <c r="C44" s="218" t="s">
        <v>169</v>
      </c>
      <c r="D44" s="218" t="s">
        <v>170</v>
      </c>
      <c r="E44" s="218" t="s">
        <v>171</v>
      </c>
      <c r="F44" s="218" t="s">
        <v>172</v>
      </c>
      <c r="G44" s="185" t="s">
        <v>97</v>
      </c>
      <c r="H44" s="3"/>
      <c r="I44" s="220" t="s">
        <v>179</v>
      </c>
      <c r="J44" s="218" t="s">
        <v>169</v>
      </c>
      <c r="K44" s="218" t="s">
        <v>170</v>
      </c>
      <c r="L44" s="218" t="s">
        <v>171</v>
      </c>
      <c r="M44" s="218" t="s">
        <v>172</v>
      </c>
      <c r="O44" s="220" t="s">
        <v>179</v>
      </c>
      <c r="P44" s="218" t="s">
        <v>169</v>
      </c>
      <c r="Q44" s="218" t="s">
        <v>170</v>
      </c>
      <c r="R44" s="218" t="s">
        <v>171</v>
      </c>
      <c r="S44" s="218" t="s">
        <v>172</v>
      </c>
      <c r="T44" s="185" t="s">
        <v>97</v>
      </c>
    </row>
    <row r="45" spans="2:20">
      <c r="B45" s="221" t="s">
        <v>173</v>
      </c>
      <c r="C45" s="425"/>
      <c r="D45" s="426"/>
      <c r="E45" s="426"/>
      <c r="F45" s="427"/>
      <c r="G45" s="195">
        <f t="shared" ref="G45:G50" si="31">SUM(C45:F45)</f>
        <v>0</v>
      </c>
      <c r="H45" s="3"/>
      <c r="I45" s="221" t="s">
        <v>173</v>
      </c>
      <c r="J45" s="425">
        <v>1.0878896269800715</v>
      </c>
      <c r="K45" s="426">
        <v>1.0878896269800715</v>
      </c>
      <c r="L45" s="426">
        <v>1.0878896269800715</v>
      </c>
      <c r="M45" s="427">
        <v>1.0878896269800715</v>
      </c>
      <c r="O45" s="221" t="s">
        <v>173</v>
      </c>
      <c r="P45" s="425">
        <f>ROUND(C45*J45,0)</f>
        <v>0</v>
      </c>
      <c r="Q45" s="425">
        <f t="shared" ref="Q45:Q50" si="32">ROUND(D45*K45,0)</f>
        <v>0</v>
      </c>
      <c r="R45" s="425">
        <f t="shared" ref="R45:R50" si="33">ROUND(E45*L45,0)</f>
        <v>0</v>
      </c>
      <c r="S45" s="425">
        <f t="shared" ref="S45:S50" si="34">ROUND(F45*M45,0)</f>
        <v>0</v>
      </c>
      <c r="T45" s="195">
        <f t="shared" ref="T45:T50" si="35">SUM(P45:S45)</f>
        <v>0</v>
      </c>
    </row>
    <row r="46" spans="2:20">
      <c r="B46" s="221" t="s">
        <v>174</v>
      </c>
      <c r="C46" s="428"/>
      <c r="D46" s="429"/>
      <c r="E46" s="429"/>
      <c r="F46" s="430"/>
      <c r="G46" s="195">
        <f t="shared" si="31"/>
        <v>0</v>
      </c>
      <c r="H46" s="3"/>
      <c r="I46" s="221" t="s">
        <v>174</v>
      </c>
      <c r="J46" s="428">
        <v>1.0012266928361138</v>
      </c>
      <c r="K46" s="428">
        <v>1.0012266928361138</v>
      </c>
      <c r="L46" s="428">
        <v>1.0012266928361138</v>
      </c>
      <c r="M46" s="428">
        <v>1.0012266928361138</v>
      </c>
      <c r="O46" s="221" t="s">
        <v>174</v>
      </c>
      <c r="P46" s="425">
        <f t="shared" ref="P46:P50" si="36">ROUND(C46*J46,0)</f>
        <v>0</v>
      </c>
      <c r="Q46" s="425">
        <f t="shared" si="32"/>
        <v>0</v>
      </c>
      <c r="R46" s="425">
        <f t="shared" si="33"/>
        <v>0</v>
      </c>
      <c r="S46" s="425">
        <f t="shared" si="34"/>
        <v>0</v>
      </c>
      <c r="T46" s="195">
        <f t="shared" si="35"/>
        <v>0</v>
      </c>
    </row>
    <row r="47" spans="2:20">
      <c r="B47" s="221" t="s">
        <v>175</v>
      </c>
      <c r="C47" s="428"/>
      <c r="D47" s="429"/>
      <c r="E47" s="429"/>
      <c r="F47" s="430"/>
      <c r="G47" s="195">
        <f t="shared" si="31"/>
        <v>0</v>
      </c>
      <c r="H47" s="3"/>
      <c r="I47" s="221" t="s">
        <v>175</v>
      </c>
      <c r="J47" s="428">
        <v>1.6164405555109578</v>
      </c>
      <c r="K47" s="428">
        <v>1.6164405555109578</v>
      </c>
      <c r="L47" s="428">
        <v>1.6164405555109578</v>
      </c>
      <c r="M47" s="428">
        <v>1.6164405555109578</v>
      </c>
      <c r="O47" s="221" t="s">
        <v>175</v>
      </c>
      <c r="P47" s="425">
        <f t="shared" si="36"/>
        <v>0</v>
      </c>
      <c r="Q47" s="425">
        <f t="shared" si="32"/>
        <v>0</v>
      </c>
      <c r="R47" s="425">
        <f t="shared" si="33"/>
        <v>0</v>
      </c>
      <c r="S47" s="425">
        <f t="shared" si="34"/>
        <v>0</v>
      </c>
      <c r="T47" s="195">
        <f t="shared" si="35"/>
        <v>0</v>
      </c>
    </row>
    <row r="48" spans="2:20">
      <c r="B48" s="221" t="s">
        <v>176</v>
      </c>
      <c r="C48" s="428"/>
      <c r="D48" s="429"/>
      <c r="E48" s="429"/>
      <c r="F48" s="430"/>
      <c r="G48" s="195">
        <f t="shared" si="31"/>
        <v>0</v>
      </c>
      <c r="H48" s="3"/>
      <c r="I48" s="221" t="s">
        <v>176</v>
      </c>
      <c r="J48" s="428">
        <v>1.0260812975570686</v>
      </c>
      <c r="K48" s="428">
        <v>1.0260812975570686</v>
      </c>
      <c r="L48" s="428">
        <v>1.0260812975570686</v>
      </c>
      <c r="M48" s="428">
        <v>1.0260812975570699</v>
      </c>
      <c r="O48" s="221" t="s">
        <v>176</v>
      </c>
      <c r="P48" s="425">
        <f t="shared" si="36"/>
        <v>0</v>
      </c>
      <c r="Q48" s="425">
        <f t="shared" si="32"/>
        <v>0</v>
      </c>
      <c r="R48" s="425">
        <f t="shared" si="33"/>
        <v>0</v>
      </c>
      <c r="S48" s="425">
        <f t="shared" si="34"/>
        <v>0</v>
      </c>
      <c r="T48" s="195">
        <f t="shared" si="35"/>
        <v>0</v>
      </c>
    </row>
    <row r="49" spans="2:20">
      <c r="B49" s="221" t="s">
        <v>177</v>
      </c>
      <c r="C49" s="428"/>
      <c r="D49" s="429">
        <v>3</v>
      </c>
      <c r="E49" s="429"/>
      <c r="F49" s="430"/>
      <c r="G49" s="195">
        <f t="shared" si="31"/>
        <v>3</v>
      </c>
      <c r="H49" s="3"/>
      <c r="I49" s="221" t="s">
        <v>177</v>
      </c>
      <c r="J49" s="428">
        <v>1.0391883351647413</v>
      </c>
      <c r="K49" s="428">
        <v>1.0391883351647413</v>
      </c>
      <c r="L49" s="428">
        <v>1.0391883351647413</v>
      </c>
      <c r="M49" s="428">
        <v>1.03918833516474</v>
      </c>
      <c r="O49" s="221" t="s">
        <v>177</v>
      </c>
      <c r="P49" s="425">
        <f t="shared" si="36"/>
        <v>0</v>
      </c>
      <c r="Q49" s="425">
        <f t="shared" si="32"/>
        <v>3</v>
      </c>
      <c r="R49" s="425">
        <f t="shared" si="33"/>
        <v>0</v>
      </c>
      <c r="S49" s="425">
        <f t="shared" si="34"/>
        <v>0</v>
      </c>
      <c r="T49" s="195">
        <f t="shared" si="35"/>
        <v>3</v>
      </c>
    </row>
    <row r="50" spans="2:20">
      <c r="B50" s="221" t="s">
        <v>178</v>
      </c>
      <c r="C50" s="428"/>
      <c r="D50" s="429"/>
      <c r="E50" s="429"/>
      <c r="F50" s="430"/>
      <c r="G50" s="195">
        <f t="shared" si="31"/>
        <v>0</v>
      </c>
      <c r="H50" s="3"/>
      <c r="I50" s="221" t="s">
        <v>178</v>
      </c>
      <c r="J50" s="428">
        <v>1.1331002957784351</v>
      </c>
      <c r="K50" s="428">
        <v>1.1331002957784351</v>
      </c>
      <c r="L50" s="428">
        <v>1.1331002957784351</v>
      </c>
      <c r="M50" s="428">
        <v>1.13310029577844</v>
      </c>
      <c r="O50" s="221" t="s">
        <v>178</v>
      </c>
      <c r="P50" s="425">
        <f t="shared" si="36"/>
        <v>0</v>
      </c>
      <c r="Q50" s="425">
        <f t="shared" si="32"/>
        <v>0</v>
      </c>
      <c r="R50" s="425">
        <f t="shared" si="33"/>
        <v>0</v>
      </c>
      <c r="S50" s="425">
        <f t="shared" si="34"/>
        <v>0</v>
      </c>
      <c r="T50" s="195">
        <f t="shared" si="35"/>
        <v>0</v>
      </c>
    </row>
    <row r="51" spans="2:20">
      <c r="B51" s="222"/>
      <c r="C51" s="579" t="s">
        <v>164</v>
      </c>
      <c r="D51" s="579"/>
      <c r="E51" s="579"/>
      <c r="F51" s="579"/>
      <c r="G51" s="186"/>
      <c r="H51" s="3"/>
      <c r="I51" s="222"/>
      <c r="J51" s="579" t="s">
        <v>164</v>
      </c>
      <c r="K51" s="579"/>
      <c r="L51" s="579"/>
      <c r="M51" s="579"/>
      <c r="O51" s="222"/>
      <c r="P51" s="579" t="s">
        <v>164</v>
      </c>
      <c r="Q51" s="579"/>
      <c r="R51" s="579"/>
      <c r="S51" s="579"/>
      <c r="T51" s="186"/>
    </row>
    <row r="52" spans="2:20">
      <c r="B52" s="220" t="s">
        <v>179</v>
      </c>
      <c r="C52" s="218" t="s">
        <v>169</v>
      </c>
      <c r="D52" s="218" t="s">
        <v>170</v>
      </c>
      <c r="E52" s="218" t="s">
        <v>171</v>
      </c>
      <c r="F52" s="218" t="s">
        <v>172</v>
      </c>
      <c r="G52" s="185" t="s">
        <v>97</v>
      </c>
      <c r="H52" s="3"/>
      <c r="I52" s="220" t="s">
        <v>179</v>
      </c>
      <c r="J52" s="218" t="s">
        <v>169</v>
      </c>
      <c r="K52" s="218" t="s">
        <v>170</v>
      </c>
      <c r="L52" s="218" t="s">
        <v>171</v>
      </c>
      <c r="M52" s="218" t="s">
        <v>172</v>
      </c>
      <c r="O52" s="220" t="s">
        <v>179</v>
      </c>
      <c r="P52" s="218" t="s">
        <v>169</v>
      </c>
      <c r="Q52" s="218" t="s">
        <v>170</v>
      </c>
      <c r="R52" s="218" t="s">
        <v>171</v>
      </c>
      <c r="S52" s="218" t="s">
        <v>172</v>
      </c>
      <c r="T52" s="185" t="s">
        <v>97</v>
      </c>
    </row>
    <row r="53" spans="2:20">
      <c r="B53" s="221" t="s">
        <v>173</v>
      </c>
      <c r="C53" s="425"/>
      <c r="D53" s="426"/>
      <c r="E53" s="426"/>
      <c r="F53" s="427"/>
      <c r="G53" s="195">
        <f t="shared" ref="G53:G58" si="37">SUM(C53:F53)</f>
        <v>0</v>
      </c>
      <c r="H53" s="3"/>
      <c r="I53" s="221" t="s">
        <v>173</v>
      </c>
      <c r="J53" s="425">
        <v>1.0878896269800715</v>
      </c>
      <c r="K53" s="426">
        <v>1.0878896269800715</v>
      </c>
      <c r="L53" s="426">
        <v>1.0878896269800715</v>
      </c>
      <c r="M53" s="427">
        <v>1.0878896269800715</v>
      </c>
      <c r="O53" s="221" t="s">
        <v>173</v>
      </c>
      <c r="P53" s="425"/>
      <c r="Q53" s="426"/>
      <c r="R53" s="426"/>
      <c r="S53" s="427"/>
      <c r="T53" s="195">
        <f t="shared" ref="T53:T58" si="38">SUM(P53:S53)</f>
        <v>0</v>
      </c>
    </row>
    <row r="54" spans="2:20">
      <c r="B54" s="221" t="s">
        <v>174</v>
      </c>
      <c r="C54" s="428"/>
      <c r="D54" s="429"/>
      <c r="E54" s="429"/>
      <c r="F54" s="430"/>
      <c r="G54" s="195">
        <f t="shared" si="37"/>
        <v>0</v>
      </c>
      <c r="H54" s="3"/>
      <c r="I54" s="221" t="s">
        <v>174</v>
      </c>
      <c r="J54" s="428">
        <v>1.0012266928361138</v>
      </c>
      <c r="K54" s="428">
        <v>1.0012266928361138</v>
      </c>
      <c r="L54" s="428">
        <v>1.0012266928361138</v>
      </c>
      <c r="M54" s="428">
        <v>1.0012266928361138</v>
      </c>
      <c r="O54" s="221" t="s">
        <v>174</v>
      </c>
      <c r="P54" s="428"/>
      <c r="Q54" s="429"/>
      <c r="R54" s="429"/>
      <c r="S54" s="430"/>
      <c r="T54" s="195">
        <f t="shared" si="38"/>
        <v>0</v>
      </c>
    </row>
    <row r="55" spans="2:20">
      <c r="B55" s="221" t="s">
        <v>175</v>
      </c>
      <c r="C55" s="428"/>
      <c r="D55" s="429"/>
      <c r="E55" s="429"/>
      <c r="F55" s="430"/>
      <c r="G55" s="195">
        <f t="shared" si="37"/>
        <v>0</v>
      </c>
      <c r="H55" s="3"/>
      <c r="I55" s="221" t="s">
        <v>175</v>
      </c>
      <c r="J55" s="428">
        <v>1.6164405555109578</v>
      </c>
      <c r="K55" s="428">
        <v>1.6164405555109578</v>
      </c>
      <c r="L55" s="428">
        <v>1.6164405555109578</v>
      </c>
      <c r="M55" s="428">
        <v>1.6164405555109578</v>
      </c>
      <c r="O55" s="221" t="s">
        <v>175</v>
      </c>
      <c r="P55" s="428"/>
      <c r="Q55" s="429"/>
      <c r="R55" s="429"/>
      <c r="S55" s="430"/>
      <c r="T55" s="195">
        <f t="shared" si="38"/>
        <v>0</v>
      </c>
    </row>
    <row r="56" spans="2:20">
      <c r="B56" s="221" t="s">
        <v>176</v>
      </c>
      <c r="C56" s="428"/>
      <c r="D56" s="429"/>
      <c r="E56" s="429"/>
      <c r="F56" s="430"/>
      <c r="G56" s="195">
        <f t="shared" si="37"/>
        <v>0</v>
      </c>
      <c r="H56" s="3"/>
      <c r="I56" s="221" t="s">
        <v>176</v>
      </c>
      <c r="J56" s="428">
        <v>1.0260812975570686</v>
      </c>
      <c r="K56" s="428">
        <v>1.0260812975570686</v>
      </c>
      <c r="L56" s="428">
        <v>1.0260812975570686</v>
      </c>
      <c r="M56" s="428">
        <v>1.0260812975570699</v>
      </c>
      <c r="O56" s="221" t="s">
        <v>176</v>
      </c>
      <c r="P56" s="428"/>
      <c r="Q56" s="429"/>
      <c r="R56" s="429"/>
      <c r="S56" s="430"/>
      <c r="T56" s="195">
        <f t="shared" si="38"/>
        <v>0</v>
      </c>
    </row>
    <row r="57" spans="2:20">
      <c r="B57" s="221" t="s">
        <v>177</v>
      </c>
      <c r="C57" s="428"/>
      <c r="D57" s="429"/>
      <c r="E57" s="429"/>
      <c r="F57" s="430"/>
      <c r="G57" s="195">
        <f t="shared" si="37"/>
        <v>0</v>
      </c>
      <c r="H57" s="3"/>
      <c r="I57" s="221" t="s">
        <v>177</v>
      </c>
      <c r="J57" s="428">
        <v>1.0391883351647413</v>
      </c>
      <c r="K57" s="428">
        <v>1.0391883351647413</v>
      </c>
      <c r="L57" s="428">
        <v>1.0391883351647413</v>
      </c>
      <c r="M57" s="428">
        <v>1.03918833516474</v>
      </c>
      <c r="O57" s="221" t="s">
        <v>177</v>
      </c>
      <c r="P57" s="428">
        <v>223</v>
      </c>
      <c r="Q57" s="429"/>
      <c r="R57" s="429"/>
      <c r="S57" s="430"/>
      <c r="T57" s="195">
        <f t="shared" si="38"/>
        <v>223</v>
      </c>
    </row>
    <row r="58" spans="2:20" ht="15.75" thickBot="1">
      <c r="B58" s="223" t="s">
        <v>178</v>
      </c>
      <c r="C58" s="431"/>
      <c r="D58" s="432"/>
      <c r="E58" s="432"/>
      <c r="F58" s="433"/>
      <c r="G58" s="196">
        <f t="shared" si="37"/>
        <v>0</v>
      </c>
      <c r="H58" s="3"/>
      <c r="I58" s="223" t="s">
        <v>178</v>
      </c>
      <c r="J58" s="428">
        <v>1.1331002957784351</v>
      </c>
      <c r="K58" s="428">
        <v>1.1331002957784351</v>
      </c>
      <c r="L58" s="428">
        <v>1.1331002957784351</v>
      </c>
      <c r="M58" s="428">
        <v>1.13310029577844</v>
      </c>
      <c r="O58" s="223" t="s">
        <v>178</v>
      </c>
      <c r="P58" s="431"/>
      <c r="Q58" s="432"/>
      <c r="R58" s="432"/>
      <c r="S58" s="433"/>
      <c r="T58" s="196">
        <f t="shared" si="38"/>
        <v>0</v>
      </c>
    </row>
    <row r="59" spans="2:20">
      <c r="B59" s="215"/>
      <c r="C59" s="216"/>
      <c r="D59" s="216"/>
      <c r="E59" s="216"/>
      <c r="F59" s="216"/>
      <c r="G59" s="216"/>
      <c r="H59" s="3"/>
    </row>
    <row r="60" spans="2:20">
      <c r="B60" s="6" t="s">
        <v>337</v>
      </c>
      <c r="C60" s="3"/>
      <c r="D60" s="3"/>
      <c r="E60" s="3"/>
      <c r="F60" s="3"/>
      <c r="G60" s="3"/>
      <c r="H60" s="3"/>
    </row>
    <row r="61" spans="2:20">
      <c r="B61" s="3"/>
      <c r="C61" s="63">
        <v>2013</v>
      </c>
      <c r="D61" s="63">
        <v>2014</v>
      </c>
      <c r="E61" s="63" t="s">
        <v>333</v>
      </c>
      <c r="F61" s="3"/>
      <c r="G61" s="3"/>
      <c r="H61" s="3"/>
    </row>
    <row r="62" spans="2:20">
      <c r="B62" s="437" t="s">
        <v>173</v>
      </c>
      <c r="C62" s="63">
        <v>1957</v>
      </c>
      <c r="D62" s="63">
        <v>2129</v>
      </c>
      <c r="E62" s="438">
        <f>D62/C62</f>
        <v>1.0878896269800715</v>
      </c>
      <c r="F62" s="3"/>
      <c r="G62" s="3"/>
      <c r="H62" s="3"/>
    </row>
    <row r="63" spans="2:20">
      <c r="B63" s="437" t="s">
        <v>174</v>
      </c>
      <c r="C63" s="63">
        <v>4076</v>
      </c>
      <c r="D63" s="63">
        <v>4081</v>
      </c>
      <c r="E63" s="438">
        <f t="shared" ref="E63:E67" si="39">D63/C63</f>
        <v>1.0012266928361138</v>
      </c>
      <c r="F63" s="3"/>
      <c r="G63" s="3"/>
      <c r="H63" s="3"/>
    </row>
    <row r="64" spans="2:20">
      <c r="B64" s="437" t="s">
        <v>175</v>
      </c>
      <c r="C64" s="63">
        <v>12457</v>
      </c>
      <c r="D64" s="63">
        <f>13319+6817</f>
        <v>20136</v>
      </c>
      <c r="E64" s="438">
        <f t="shared" si="39"/>
        <v>1.6164405555109578</v>
      </c>
      <c r="F64" s="3"/>
      <c r="G64" s="3"/>
      <c r="H64" s="3"/>
    </row>
    <row r="65" spans="2:8">
      <c r="B65" s="437" t="s">
        <v>176</v>
      </c>
      <c r="C65" s="63">
        <v>59928</v>
      </c>
      <c r="D65" s="63">
        <v>61491</v>
      </c>
      <c r="E65" s="438">
        <f t="shared" si="39"/>
        <v>1.0260812975570686</v>
      </c>
      <c r="F65" s="3"/>
      <c r="G65" s="3"/>
      <c r="H65" s="3"/>
    </row>
    <row r="66" spans="2:8">
      <c r="B66" s="437" t="s">
        <v>177</v>
      </c>
      <c r="C66" s="63">
        <v>351278</v>
      </c>
      <c r="D66" s="63">
        <v>365044</v>
      </c>
      <c r="E66" s="438">
        <f t="shared" si="39"/>
        <v>1.0391883351647413</v>
      </c>
      <c r="F66" s="3"/>
      <c r="G66" s="3"/>
      <c r="H66" s="3"/>
    </row>
    <row r="67" spans="2:8">
      <c r="B67" s="437" t="s">
        <v>178</v>
      </c>
      <c r="C67" s="63">
        <v>3719</v>
      </c>
      <c r="D67" s="63">
        <f>3836+378</f>
        <v>4214</v>
      </c>
      <c r="E67" s="438">
        <f t="shared" si="39"/>
        <v>1.1331002957784351</v>
      </c>
      <c r="F67" s="3"/>
      <c r="G67" s="3"/>
      <c r="H67" s="3"/>
    </row>
  </sheetData>
  <mergeCells count="24">
    <mergeCell ref="C43:F43"/>
    <mergeCell ref="C51:F51"/>
    <mergeCell ref="I2:M2"/>
    <mergeCell ref="J3:M3"/>
    <mergeCell ref="J11:M11"/>
    <mergeCell ref="J19:L19"/>
    <mergeCell ref="J27:M27"/>
    <mergeCell ref="B2:G2"/>
    <mergeCell ref="C3:F3"/>
    <mergeCell ref="C11:F11"/>
    <mergeCell ref="C19:E19"/>
    <mergeCell ref="C27:F27"/>
    <mergeCell ref="C35:F35"/>
    <mergeCell ref="P51:S51"/>
    <mergeCell ref="J35:M35"/>
    <mergeCell ref="J43:M43"/>
    <mergeCell ref="J51:M51"/>
    <mergeCell ref="O2:T2"/>
    <mergeCell ref="P3:S3"/>
    <mergeCell ref="P11:S11"/>
    <mergeCell ref="P19:R19"/>
    <mergeCell ref="P27:S27"/>
    <mergeCell ref="P35:S35"/>
    <mergeCell ref="P43:S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36"/>
  <sheetViews>
    <sheetView zoomScale="85" zoomScaleNormal="85" workbookViewId="0">
      <selection activeCell="H122" sqref="H122"/>
    </sheetView>
  </sheetViews>
  <sheetFormatPr defaultRowHeight="15"/>
  <cols>
    <col min="1" max="1" width="5.28515625" style="3" customWidth="1"/>
    <col min="2" max="2" width="24.4257812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" style="3" customWidth="1"/>
    <col min="8" max="8" width="15.28515625" style="3" customWidth="1"/>
    <col min="9" max="9" width="12.140625" style="3" customWidth="1"/>
    <col min="10" max="10" width="12.140625" style="3" hidden="1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8" ht="21">
      <c r="A1" s="113" t="s">
        <v>59</v>
      </c>
      <c r="B1" s="113" t="s">
        <v>1</v>
      </c>
    </row>
    <row r="3" spans="1:18" ht="15.75" thickBot="1"/>
    <row r="4" spans="1:18" ht="26.25" customHeight="1" thickBot="1">
      <c r="B4" s="22" t="s">
        <v>76</v>
      </c>
      <c r="C4" s="23" t="s">
        <v>3</v>
      </c>
      <c r="D4" s="24" t="s">
        <v>67</v>
      </c>
      <c r="E4" s="585" t="s">
        <v>130</v>
      </c>
      <c r="F4" s="584" t="s">
        <v>122</v>
      </c>
      <c r="G4" s="585"/>
      <c r="H4" s="585" t="s">
        <v>132</v>
      </c>
      <c r="I4" s="585"/>
      <c r="J4" s="89" t="s">
        <v>136</v>
      </c>
      <c r="K4" s="586" t="s">
        <v>133</v>
      </c>
      <c r="L4" s="584" t="s">
        <v>138</v>
      </c>
      <c r="M4" s="585"/>
      <c r="N4" s="586"/>
      <c r="O4" s="584" t="s">
        <v>137</v>
      </c>
      <c r="P4" s="585"/>
      <c r="Q4" s="585"/>
      <c r="R4" s="586"/>
    </row>
    <row r="5" spans="1:18">
      <c r="B5" s="90"/>
      <c r="C5" s="29"/>
      <c r="D5" s="29"/>
      <c r="E5" s="587"/>
      <c r="F5" s="104" t="s">
        <v>131</v>
      </c>
      <c r="G5" s="87" t="s">
        <v>135</v>
      </c>
      <c r="H5" s="87" t="s">
        <v>131</v>
      </c>
      <c r="I5" s="87" t="s">
        <v>135</v>
      </c>
      <c r="J5" s="87"/>
      <c r="K5" s="588"/>
      <c r="L5" s="104" t="s">
        <v>134</v>
      </c>
      <c r="M5" s="87" t="s">
        <v>111</v>
      </c>
      <c r="N5" s="91" t="s">
        <v>125</v>
      </c>
      <c r="O5" s="104" t="s">
        <v>134</v>
      </c>
      <c r="P5" s="87" t="s">
        <v>111</v>
      </c>
      <c r="Q5" s="87" t="s">
        <v>125</v>
      </c>
      <c r="R5" s="107" t="s">
        <v>109</v>
      </c>
    </row>
    <row r="6" spans="1:18">
      <c r="B6" s="20" t="s">
        <v>26</v>
      </c>
      <c r="C6" s="97" t="s">
        <v>46</v>
      </c>
      <c r="D6" s="98"/>
      <c r="E6" s="101"/>
      <c r="F6" s="105"/>
      <c r="G6" s="99"/>
      <c r="H6" s="99"/>
      <c r="I6" s="99"/>
      <c r="J6" s="101"/>
      <c r="K6" s="100"/>
      <c r="L6" s="105"/>
      <c r="M6" s="99"/>
      <c r="N6" s="100"/>
      <c r="O6" s="105"/>
      <c r="P6" s="99"/>
      <c r="Q6" s="101"/>
      <c r="R6" s="108"/>
    </row>
    <row r="7" spans="1:18">
      <c r="B7" s="20" t="s">
        <v>49</v>
      </c>
      <c r="C7" s="14"/>
      <c r="D7" s="98" t="s">
        <v>47</v>
      </c>
      <c r="E7" s="101"/>
      <c r="F7" s="105"/>
      <c r="G7" s="99"/>
      <c r="H7" s="99"/>
      <c r="I7" s="99"/>
      <c r="J7" s="101"/>
      <c r="K7" s="100"/>
      <c r="L7" s="105"/>
      <c r="M7" s="99"/>
      <c r="N7" s="100"/>
      <c r="O7" s="105"/>
      <c r="P7" s="99"/>
      <c r="Q7" s="101"/>
      <c r="R7" s="108"/>
    </row>
    <row r="8" spans="1:18">
      <c r="B8" s="94"/>
      <c r="C8" s="92"/>
      <c r="D8" s="92"/>
      <c r="E8" s="102" t="s">
        <v>85</v>
      </c>
      <c r="F8" s="94">
        <v>1.887</v>
      </c>
      <c r="G8" s="92" t="e">
        <f>VLOOKUP(E8,#REF!,2,FALSE)</f>
        <v>#REF!</v>
      </c>
      <c r="H8" s="92" t="e">
        <f>VLOOKUP(E8,#REF!,3,FALSE)</f>
        <v>#REF!</v>
      </c>
      <c r="I8" s="92" t="e">
        <f>VLOOKUP(E8,#REF!,4,FALSE)</f>
        <v>#REF!</v>
      </c>
      <c r="J8" s="102" t="e">
        <f>VLOOKUP(E8,#REF!,5,FALSE)</f>
        <v>#REF!</v>
      </c>
      <c r="K8" s="93" t="e">
        <f>F8*J8*H8</f>
        <v>#REF!</v>
      </c>
      <c r="L8" s="94" t="e">
        <f>VLOOKUP(E8,#REF!,7,FALSE)</f>
        <v>#REF!</v>
      </c>
      <c r="M8" s="92" t="e">
        <f>VLOOKUP(E8,#REF!,9,FALSE)</f>
        <v>#REF!</v>
      </c>
      <c r="N8" s="93" t="e">
        <f>VLOOKUP(E8,#REF!,11,FALSE)</f>
        <v>#REF!</v>
      </c>
      <c r="O8" s="94" t="e">
        <f>ROUND(K8*L8/1000,0)</f>
        <v>#REF!</v>
      </c>
      <c r="P8" s="92" t="e">
        <f>ROUND(M8*K8/1000,3)</f>
        <v>#REF!</v>
      </c>
      <c r="Q8" s="102" t="e">
        <f>ROUND(K8*N8/1000,3)</f>
        <v>#REF!</v>
      </c>
      <c r="R8" s="109" t="e">
        <f t="shared" ref="R8:R14" si="0">ROUND(O8+P8*GWP_CH4+Q8*GWP_N2O,0)</f>
        <v>#REF!</v>
      </c>
    </row>
    <row r="9" spans="1:18">
      <c r="B9" s="94"/>
      <c r="C9" s="92"/>
      <c r="D9" s="92"/>
      <c r="E9" s="102" t="s">
        <v>84</v>
      </c>
      <c r="F9" s="94">
        <v>4.109</v>
      </c>
      <c r="G9" s="92" t="e">
        <f>VLOOKUP(E9,#REF!,2,FALSE)</f>
        <v>#REF!</v>
      </c>
      <c r="H9" s="92" t="e">
        <f>VLOOKUP(E9,#REF!,3,FALSE)</f>
        <v>#REF!</v>
      </c>
      <c r="I9" s="92" t="e">
        <f>VLOOKUP(E9,#REF!,4,FALSE)</f>
        <v>#REF!</v>
      </c>
      <c r="J9" s="102" t="e">
        <f>VLOOKUP(E9,#REF!,5,FALSE)</f>
        <v>#REF!</v>
      </c>
      <c r="K9" s="93" t="e">
        <f t="shared" ref="K9:K14" si="1">F9*J9*H9</f>
        <v>#REF!</v>
      </c>
      <c r="L9" s="94" t="e">
        <f>VLOOKUP(E9,#REF!,7,FALSE)</f>
        <v>#REF!</v>
      </c>
      <c r="M9" s="92" t="e">
        <f>VLOOKUP(E9,#REF!,9,FALSE)</f>
        <v>#REF!</v>
      </c>
      <c r="N9" s="93" t="e">
        <f>VLOOKUP(E9,#REF!,11,FALSE)</f>
        <v>#REF!</v>
      </c>
      <c r="O9" s="94" t="e">
        <f t="shared" ref="O9:O14" si="2">ROUND(K9*L9/1000,0)</f>
        <v>#REF!</v>
      </c>
      <c r="P9" s="92" t="e">
        <f t="shared" ref="P9:P14" si="3">ROUND(M9*K9/1000,3)</f>
        <v>#REF!</v>
      </c>
      <c r="Q9" s="102" t="e">
        <f t="shared" ref="Q9:Q14" si="4">ROUND(K9*N9/1000,3)</f>
        <v>#REF!</v>
      </c>
      <c r="R9" s="109" t="e">
        <f t="shared" si="0"/>
        <v>#REF!</v>
      </c>
    </row>
    <row r="10" spans="1:18">
      <c r="B10" s="94"/>
      <c r="C10" s="92"/>
      <c r="D10" s="92"/>
      <c r="E10" s="102" t="s">
        <v>83</v>
      </c>
      <c r="F10" s="94"/>
      <c r="G10" s="92" t="e">
        <f>VLOOKUP(E10,#REF!,2,FALSE)</f>
        <v>#REF!</v>
      </c>
      <c r="H10" s="92" t="e">
        <f>VLOOKUP(E10,#REF!,3,FALSE)</f>
        <v>#REF!</v>
      </c>
      <c r="I10" s="92" t="e">
        <f>VLOOKUP(E10,#REF!,4,FALSE)</f>
        <v>#REF!</v>
      </c>
      <c r="J10" s="102" t="e">
        <f>VLOOKUP(E10,#REF!,5,FALSE)</f>
        <v>#REF!</v>
      </c>
      <c r="K10" s="93" t="e">
        <f t="shared" si="1"/>
        <v>#REF!</v>
      </c>
      <c r="L10" s="94" t="e">
        <f>VLOOKUP(E10,#REF!,7,FALSE)</f>
        <v>#REF!</v>
      </c>
      <c r="M10" s="92" t="e">
        <f>VLOOKUP(E10,#REF!,9,FALSE)</f>
        <v>#REF!</v>
      </c>
      <c r="N10" s="93" t="e">
        <f>VLOOKUP(E10,#REF!,11,FALSE)</f>
        <v>#REF!</v>
      </c>
      <c r="O10" s="94" t="e">
        <f t="shared" si="2"/>
        <v>#REF!</v>
      </c>
      <c r="P10" s="92" t="e">
        <f t="shared" si="3"/>
        <v>#REF!</v>
      </c>
      <c r="Q10" s="102" t="e">
        <f t="shared" si="4"/>
        <v>#REF!</v>
      </c>
      <c r="R10" s="109" t="e">
        <f t="shared" si="0"/>
        <v>#REF!</v>
      </c>
    </row>
    <row r="11" spans="1:18">
      <c r="B11" s="94"/>
      <c r="C11" s="92"/>
      <c r="D11" s="92"/>
      <c r="E11" s="102" t="s">
        <v>80</v>
      </c>
      <c r="F11" s="94"/>
      <c r="G11" s="92" t="e">
        <f>VLOOKUP(E11,#REF!,2,FALSE)</f>
        <v>#REF!</v>
      </c>
      <c r="H11" s="92" t="e">
        <f>VLOOKUP(E11,#REF!,3,FALSE)</f>
        <v>#REF!</v>
      </c>
      <c r="I11" s="92" t="e">
        <f>VLOOKUP(E11,#REF!,4,FALSE)</f>
        <v>#REF!</v>
      </c>
      <c r="J11" s="102" t="e">
        <f>VLOOKUP(E11,#REF!,5,FALSE)</f>
        <v>#REF!</v>
      </c>
      <c r="K11" s="93" t="e">
        <f t="shared" si="1"/>
        <v>#REF!</v>
      </c>
      <c r="L11" s="94" t="e">
        <f>VLOOKUP(E11,#REF!,7,FALSE)</f>
        <v>#REF!</v>
      </c>
      <c r="M11" s="92" t="e">
        <f>VLOOKUP(E11,#REF!,9,FALSE)</f>
        <v>#REF!</v>
      </c>
      <c r="N11" s="93" t="e">
        <f>VLOOKUP(E11,#REF!,11,FALSE)</f>
        <v>#REF!</v>
      </c>
      <c r="O11" s="94" t="e">
        <f t="shared" si="2"/>
        <v>#REF!</v>
      </c>
      <c r="P11" s="92" t="e">
        <f t="shared" si="3"/>
        <v>#REF!</v>
      </c>
      <c r="Q11" s="102" t="e">
        <f t="shared" si="4"/>
        <v>#REF!</v>
      </c>
      <c r="R11" s="109" t="e">
        <f t="shared" si="0"/>
        <v>#REF!</v>
      </c>
    </row>
    <row r="12" spans="1:18">
      <c r="B12" s="94"/>
      <c r="C12" s="92"/>
      <c r="D12" s="92"/>
      <c r="E12" s="102" t="s">
        <v>161</v>
      </c>
      <c r="F12" s="94"/>
      <c r="G12" s="92" t="e">
        <f>VLOOKUP(E12,#REF!,2,FALSE)</f>
        <v>#REF!</v>
      </c>
      <c r="H12" s="92" t="e">
        <f>VLOOKUP(E12,#REF!,3,FALSE)</f>
        <v>#REF!</v>
      </c>
      <c r="I12" s="92" t="e">
        <f>VLOOKUP(E12,#REF!,4,FALSE)</f>
        <v>#REF!</v>
      </c>
      <c r="J12" s="102" t="e">
        <f>VLOOKUP(E12,#REF!,5,FALSE)</f>
        <v>#REF!</v>
      </c>
      <c r="K12" s="93" t="e">
        <f t="shared" si="1"/>
        <v>#REF!</v>
      </c>
      <c r="L12" s="94" t="e">
        <f>VLOOKUP(E12,#REF!,7,FALSE)</f>
        <v>#REF!</v>
      </c>
      <c r="M12" s="92" t="e">
        <f>VLOOKUP(E12,#REF!,9,FALSE)</f>
        <v>#REF!</v>
      </c>
      <c r="N12" s="93" t="e">
        <f>VLOOKUP(E12,#REF!,11,FALSE)</f>
        <v>#REF!</v>
      </c>
      <c r="O12" s="94" t="e">
        <f t="shared" si="2"/>
        <v>#REF!</v>
      </c>
      <c r="P12" s="92" t="e">
        <f t="shared" si="3"/>
        <v>#REF!</v>
      </c>
      <c r="Q12" s="102" t="e">
        <f t="shared" si="4"/>
        <v>#REF!</v>
      </c>
      <c r="R12" s="109" t="e">
        <f t="shared" si="0"/>
        <v>#REF!</v>
      </c>
    </row>
    <row r="13" spans="1:18">
      <c r="B13" s="94"/>
      <c r="C13" s="92"/>
      <c r="D13" s="92"/>
      <c r="E13" s="102" t="s">
        <v>160</v>
      </c>
      <c r="F13" s="94"/>
      <c r="G13" s="92" t="e">
        <f>VLOOKUP(E13,#REF!,2,FALSE)</f>
        <v>#REF!</v>
      </c>
      <c r="H13" s="92" t="e">
        <f>VLOOKUP(E13,#REF!,3,FALSE)</f>
        <v>#REF!</v>
      </c>
      <c r="I13" s="92" t="e">
        <f>VLOOKUP(E13,#REF!,4,FALSE)</f>
        <v>#REF!</v>
      </c>
      <c r="J13" s="102" t="e">
        <f>VLOOKUP(E13,#REF!,5,FALSE)</f>
        <v>#REF!</v>
      </c>
      <c r="K13" s="93" t="e">
        <f t="shared" si="1"/>
        <v>#REF!</v>
      </c>
      <c r="L13" s="94" t="e">
        <f>VLOOKUP(E13,#REF!,7,FALSE)</f>
        <v>#REF!</v>
      </c>
      <c r="M13" s="92" t="e">
        <f>VLOOKUP(E13,#REF!,9,FALSE)</f>
        <v>#REF!</v>
      </c>
      <c r="N13" s="93" t="e">
        <f>VLOOKUP(E13,#REF!,11,FALSE)</f>
        <v>#REF!</v>
      </c>
      <c r="O13" s="94" t="e">
        <f t="shared" si="2"/>
        <v>#REF!</v>
      </c>
      <c r="P13" s="92" t="e">
        <f t="shared" si="3"/>
        <v>#REF!</v>
      </c>
      <c r="Q13" s="102" t="e">
        <f t="shared" si="4"/>
        <v>#REF!</v>
      </c>
      <c r="R13" s="109" t="e">
        <f t="shared" si="0"/>
        <v>#REF!</v>
      </c>
    </row>
    <row r="14" spans="1:18">
      <c r="B14" s="94"/>
      <c r="C14" s="92"/>
      <c r="D14" s="92"/>
      <c r="E14" s="102" t="s">
        <v>77</v>
      </c>
      <c r="F14" s="94"/>
      <c r="G14" s="92" t="e">
        <f>VLOOKUP(E14,#REF!,2,FALSE)</f>
        <v>#REF!</v>
      </c>
      <c r="H14" s="92" t="e">
        <f>VLOOKUP(E14,#REF!,3,FALSE)</f>
        <v>#REF!</v>
      </c>
      <c r="I14" s="92" t="e">
        <f>VLOOKUP(E14,#REF!,4,FALSE)</f>
        <v>#REF!</v>
      </c>
      <c r="J14" s="102" t="e">
        <f>VLOOKUP(E14,#REF!,5,FALSE)</f>
        <v>#REF!</v>
      </c>
      <c r="K14" s="93" t="e">
        <f t="shared" si="1"/>
        <v>#REF!</v>
      </c>
      <c r="L14" s="94" t="e">
        <f>VLOOKUP(E14,#REF!,7,FALSE)</f>
        <v>#REF!</v>
      </c>
      <c r="M14" s="92" t="e">
        <f>VLOOKUP(E14,#REF!,9,FALSE)</f>
        <v>#REF!</v>
      </c>
      <c r="N14" s="93" t="e">
        <f>VLOOKUP(E14,#REF!,11,FALSE)</f>
        <v>#REF!</v>
      </c>
      <c r="O14" s="94" t="e">
        <f t="shared" si="2"/>
        <v>#REF!</v>
      </c>
      <c r="P14" s="92" t="e">
        <f t="shared" si="3"/>
        <v>#REF!</v>
      </c>
      <c r="Q14" s="102" t="e">
        <f t="shared" si="4"/>
        <v>#REF!</v>
      </c>
      <c r="R14" s="109" t="e">
        <f t="shared" si="0"/>
        <v>#REF!</v>
      </c>
    </row>
    <row r="15" spans="1:18">
      <c r="B15" s="20" t="s">
        <v>50</v>
      </c>
      <c r="C15" s="14"/>
      <c r="D15" s="98" t="s">
        <v>68</v>
      </c>
      <c r="E15" s="101"/>
      <c r="F15" s="105"/>
      <c r="G15" s="99"/>
      <c r="H15" s="99"/>
      <c r="I15" s="99"/>
      <c r="J15" s="101"/>
      <c r="K15" s="100"/>
      <c r="L15" s="105"/>
      <c r="M15" s="99"/>
      <c r="N15" s="100"/>
      <c r="O15" s="105"/>
      <c r="P15" s="99"/>
      <c r="Q15" s="101"/>
      <c r="R15" s="108"/>
    </row>
    <row r="16" spans="1:18">
      <c r="B16" s="94"/>
      <c r="C16" s="92"/>
      <c r="D16" s="92"/>
      <c r="E16" s="102" t="s">
        <v>85</v>
      </c>
      <c r="F16" s="94">
        <v>0</v>
      </c>
      <c r="G16" s="92" t="e">
        <f>VLOOKUP(E16,#REF!,2,FALSE)</f>
        <v>#REF!</v>
      </c>
      <c r="H16" s="92" t="e">
        <f>VLOOKUP(E16,#REF!,3,FALSE)</f>
        <v>#REF!</v>
      </c>
      <c r="I16" s="92" t="e">
        <f>VLOOKUP(E16,#REF!,4,FALSE)</f>
        <v>#REF!</v>
      </c>
      <c r="J16" s="102" t="e">
        <f>VLOOKUP(E16,#REF!,5,FALSE)</f>
        <v>#REF!</v>
      </c>
      <c r="K16" s="93" t="e">
        <f t="shared" ref="K16:K22" si="5">F16*J16*H16</f>
        <v>#REF!</v>
      </c>
      <c r="L16" s="94" t="e">
        <f>VLOOKUP(E16,#REF!,7,FALSE)</f>
        <v>#REF!</v>
      </c>
      <c r="M16" s="92" t="e">
        <f>VLOOKUP(E16,#REF!,9,FALSE)</f>
        <v>#REF!</v>
      </c>
      <c r="N16" s="93" t="e">
        <f>VLOOKUP(E16,#REF!,11,FALSE)</f>
        <v>#REF!</v>
      </c>
      <c r="O16" s="94" t="e">
        <f t="shared" ref="O16:O22" si="6">ROUND(K16*L16/1000,0)</f>
        <v>#REF!</v>
      </c>
      <c r="P16" s="92" t="e">
        <f t="shared" ref="P16:P22" si="7">ROUND(M16*K16/1000,3)</f>
        <v>#REF!</v>
      </c>
      <c r="Q16" s="102" t="e">
        <f t="shared" ref="Q16:Q22" si="8">ROUND(K16*N16/1000,3)</f>
        <v>#REF!</v>
      </c>
      <c r="R16" s="109" t="e">
        <f t="shared" ref="R16:R22" si="9">ROUND(O16+P16*GWP_CH4+Q16*GWP_N2O,0)</f>
        <v>#REF!</v>
      </c>
    </row>
    <row r="17" spans="2:18">
      <c r="B17" s="94"/>
      <c r="C17" s="92"/>
      <c r="D17" s="92"/>
      <c r="E17" s="102" t="s">
        <v>84</v>
      </c>
      <c r="F17" s="94">
        <v>11056.992</v>
      </c>
      <c r="G17" s="92" t="e">
        <f>VLOOKUP(E17,#REF!,2,FALSE)</f>
        <v>#REF!</v>
      </c>
      <c r="H17" s="92" t="e">
        <f>VLOOKUP(E17,#REF!,3,FALSE)</f>
        <v>#REF!</v>
      </c>
      <c r="I17" s="92" t="e">
        <f>VLOOKUP(E17,#REF!,4,FALSE)</f>
        <v>#REF!</v>
      </c>
      <c r="J17" s="102" t="e">
        <f>VLOOKUP(E17,#REF!,5,FALSE)</f>
        <v>#REF!</v>
      </c>
      <c r="K17" s="93" t="e">
        <f t="shared" si="5"/>
        <v>#REF!</v>
      </c>
      <c r="L17" s="94" t="e">
        <f>VLOOKUP(E17,#REF!,7,FALSE)</f>
        <v>#REF!</v>
      </c>
      <c r="M17" s="92" t="e">
        <f>VLOOKUP(E17,#REF!,9,FALSE)</f>
        <v>#REF!</v>
      </c>
      <c r="N17" s="93" t="e">
        <f>VLOOKUP(E17,#REF!,11,FALSE)</f>
        <v>#REF!</v>
      </c>
      <c r="O17" s="94" t="e">
        <f t="shared" si="6"/>
        <v>#REF!</v>
      </c>
      <c r="P17" s="92" t="e">
        <f t="shared" si="7"/>
        <v>#REF!</v>
      </c>
      <c r="Q17" s="102" t="e">
        <f t="shared" si="8"/>
        <v>#REF!</v>
      </c>
      <c r="R17" s="109" t="e">
        <f t="shared" si="9"/>
        <v>#REF!</v>
      </c>
    </row>
    <row r="18" spans="2:18">
      <c r="B18" s="94"/>
      <c r="C18" s="92"/>
      <c r="D18" s="92"/>
      <c r="E18" s="102" t="s">
        <v>83</v>
      </c>
      <c r="F18" s="94">
        <v>0</v>
      </c>
      <c r="G18" s="92" t="e">
        <f>VLOOKUP(E18,#REF!,2,FALSE)</f>
        <v>#REF!</v>
      </c>
      <c r="H18" s="92" t="e">
        <f>VLOOKUP(E18,#REF!,3,FALSE)</f>
        <v>#REF!</v>
      </c>
      <c r="I18" s="92" t="e">
        <f>VLOOKUP(E18,#REF!,4,FALSE)</f>
        <v>#REF!</v>
      </c>
      <c r="J18" s="102" t="e">
        <f>VLOOKUP(E18,#REF!,5,FALSE)</f>
        <v>#REF!</v>
      </c>
      <c r="K18" s="93" t="e">
        <f t="shared" si="5"/>
        <v>#REF!</v>
      </c>
      <c r="L18" s="94" t="e">
        <f>VLOOKUP(E18,#REF!,7,FALSE)</f>
        <v>#REF!</v>
      </c>
      <c r="M18" s="92" t="e">
        <f>VLOOKUP(E18,#REF!,9,FALSE)</f>
        <v>#REF!</v>
      </c>
      <c r="N18" s="93" t="e">
        <f>VLOOKUP(E18,#REF!,11,FALSE)</f>
        <v>#REF!</v>
      </c>
      <c r="O18" s="94" t="e">
        <f t="shared" si="6"/>
        <v>#REF!</v>
      </c>
      <c r="P18" s="92" t="e">
        <f t="shared" si="7"/>
        <v>#REF!</v>
      </c>
      <c r="Q18" s="102" t="e">
        <f t="shared" si="8"/>
        <v>#REF!</v>
      </c>
      <c r="R18" s="109" t="e">
        <f t="shared" si="9"/>
        <v>#REF!</v>
      </c>
    </row>
    <row r="19" spans="2:18">
      <c r="B19" s="94"/>
      <c r="C19" s="92"/>
      <c r="D19" s="92"/>
      <c r="E19" s="102" t="s">
        <v>80</v>
      </c>
      <c r="F19" s="94">
        <v>0</v>
      </c>
      <c r="G19" s="92" t="e">
        <f>VLOOKUP(E19,#REF!,2,FALSE)</f>
        <v>#REF!</v>
      </c>
      <c r="H19" s="92" t="e">
        <f>VLOOKUP(E19,#REF!,3,FALSE)</f>
        <v>#REF!</v>
      </c>
      <c r="I19" s="92" t="e">
        <f>VLOOKUP(E19,#REF!,4,FALSE)</f>
        <v>#REF!</v>
      </c>
      <c r="J19" s="102" t="e">
        <f>VLOOKUP(E19,#REF!,5,FALSE)</f>
        <v>#REF!</v>
      </c>
      <c r="K19" s="93" t="e">
        <f t="shared" si="5"/>
        <v>#REF!</v>
      </c>
      <c r="L19" s="94" t="e">
        <f>VLOOKUP(E19,#REF!,7,FALSE)</f>
        <v>#REF!</v>
      </c>
      <c r="M19" s="92" t="e">
        <f>VLOOKUP(E19,#REF!,9,FALSE)</f>
        <v>#REF!</v>
      </c>
      <c r="N19" s="93" t="e">
        <f>VLOOKUP(E19,#REF!,11,FALSE)</f>
        <v>#REF!</v>
      </c>
      <c r="O19" s="94" t="e">
        <f t="shared" si="6"/>
        <v>#REF!</v>
      </c>
      <c r="P19" s="92" t="e">
        <f t="shared" si="7"/>
        <v>#REF!</v>
      </c>
      <c r="Q19" s="102" t="e">
        <f t="shared" si="8"/>
        <v>#REF!</v>
      </c>
      <c r="R19" s="109" t="e">
        <f t="shared" si="9"/>
        <v>#REF!</v>
      </c>
    </row>
    <row r="20" spans="2:18">
      <c r="B20" s="94"/>
      <c r="C20" s="92"/>
      <c r="D20" s="92"/>
      <c r="E20" s="102" t="s">
        <v>161</v>
      </c>
      <c r="F20" s="94">
        <v>0</v>
      </c>
      <c r="G20" s="92" t="e">
        <f>VLOOKUP(E20,#REF!,2,FALSE)</f>
        <v>#REF!</v>
      </c>
      <c r="H20" s="92" t="e">
        <f>VLOOKUP(E20,#REF!,3,FALSE)</f>
        <v>#REF!</v>
      </c>
      <c r="I20" s="92" t="e">
        <f>VLOOKUP(E20,#REF!,4,FALSE)</f>
        <v>#REF!</v>
      </c>
      <c r="J20" s="102" t="e">
        <f>VLOOKUP(E20,#REF!,5,FALSE)</f>
        <v>#REF!</v>
      </c>
      <c r="K20" s="93" t="e">
        <f t="shared" si="5"/>
        <v>#REF!</v>
      </c>
      <c r="L20" s="94" t="e">
        <f>VLOOKUP(E20,#REF!,7,FALSE)</f>
        <v>#REF!</v>
      </c>
      <c r="M20" s="92" t="e">
        <f>VLOOKUP(E20,#REF!,9,FALSE)</f>
        <v>#REF!</v>
      </c>
      <c r="N20" s="93" t="e">
        <f>VLOOKUP(E20,#REF!,11,FALSE)</f>
        <v>#REF!</v>
      </c>
      <c r="O20" s="94" t="e">
        <f t="shared" si="6"/>
        <v>#REF!</v>
      </c>
      <c r="P20" s="92" t="e">
        <f t="shared" si="7"/>
        <v>#REF!</v>
      </c>
      <c r="Q20" s="102" t="e">
        <f t="shared" si="8"/>
        <v>#REF!</v>
      </c>
      <c r="R20" s="109" t="e">
        <f t="shared" si="9"/>
        <v>#REF!</v>
      </c>
    </row>
    <row r="21" spans="2:18">
      <c r="B21" s="94"/>
      <c r="C21" s="92"/>
      <c r="D21" s="92"/>
      <c r="E21" s="102" t="s">
        <v>160</v>
      </c>
      <c r="F21" s="94">
        <v>0</v>
      </c>
      <c r="G21" s="92" t="e">
        <f>VLOOKUP(E21,#REF!,2,FALSE)</f>
        <v>#REF!</v>
      </c>
      <c r="H21" s="92" t="e">
        <f>VLOOKUP(E21,#REF!,3,FALSE)</f>
        <v>#REF!</v>
      </c>
      <c r="I21" s="92" t="e">
        <f>VLOOKUP(E21,#REF!,4,FALSE)</f>
        <v>#REF!</v>
      </c>
      <c r="J21" s="102" t="e">
        <f>VLOOKUP(E21,#REF!,5,FALSE)</f>
        <v>#REF!</v>
      </c>
      <c r="K21" s="93" t="e">
        <f t="shared" si="5"/>
        <v>#REF!</v>
      </c>
      <c r="L21" s="94" t="e">
        <f>VLOOKUP(E21,#REF!,7,FALSE)</f>
        <v>#REF!</v>
      </c>
      <c r="M21" s="92" t="e">
        <f>VLOOKUP(E21,#REF!,9,FALSE)</f>
        <v>#REF!</v>
      </c>
      <c r="N21" s="93" t="e">
        <f>VLOOKUP(E21,#REF!,11,FALSE)</f>
        <v>#REF!</v>
      </c>
      <c r="O21" s="94" t="e">
        <f t="shared" si="6"/>
        <v>#REF!</v>
      </c>
      <c r="P21" s="92" t="e">
        <f t="shared" si="7"/>
        <v>#REF!</v>
      </c>
      <c r="Q21" s="102" t="e">
        <f t="shared" si="8"/>
        <v>#REF!</v>
      </c>
      <c r="R21" s="109" t="e">
        <f t="shared" si="9"/>
        <v>#REF!</v>
      </c>
    </row>
    <row r="22" spans="2:18">
      <c r="B22" s="94"/>
      <c r="C22" s="92"/>
      <c r="D22" s="92"/>
      <c r="E22" s="102" t="s">
        <v>77</v>
      </c>
      <c r="F22" s="94">
        <v>0</v>
      </c>
      <c r="G22" s="92" t="e">
        <f>VLOOKUP(E22,#REF!,2,FALSE)</f>
        <v>#REF!</v>
      </c>
      <c r="H22" s="92" t="e">
        <f>VLOOKUP(E22,#REF!,3,FALSE)</f>
        <v>#REF!</v>
      </c>
      <c r="I22" s="92" t="e">
        <f>VLOOKUP(E22,#REF!,4,FALSE)</f>
        <v>#REF!</v>
      </c>
      <c r="J22" s="102" t="e">
        <f>VLOOKUP(E22,#REF!,5,FALSE)</f>
        <v>#REF!</v>
      </c>
      <c r="K22" s="93" t="e">
        <f t="shared" si="5"/>
        <v>#REF!</v>
      </c>
      <c r="L22" s="94" t="e">
        <f>VLOOKUP(E22,#REF!,7,FALSE)</f>
        <v>#REF!</v>
      </c>
      <c r="M22" s="92" t="e">
        <f>VLOOKUP(E22,#REF!,9,FALSE)</f>
        <v>#REF!</v>
      </c>
      <c r="N22" s="93" t="e">
        <f>VLOOKUP(E22,#REF!,11,FALSE)</f>
        <v>#REF!</v>
      </c>
      <c r="O22" s="94" t="e">
        <f t="shared" si="6"/>
        <v>#REF!</v>
      </c>
      <c r="P22" s="92" t="e">
        <f t="shared" si="7"/>
        <v>#REF!</v>
      </c>
      <c r="Q22" s="102" t="e">
        <f t="shared" si="8"/>
        <v>#REF!</v>
      </c>
      <c r="R22" s="109" t="e">
        <f t="shared" si="9"/>
        <v>#REF!</v>
      </c>
    </row>
    <row r="23" spans="2:18">
      <c r="B23" s="20" t="s">
        <v>51</v>
      </c>
      <c r="C23" s="14"/>
      <c r="D23" s="98" t="s">
        <v>48</v>
      </c>
      <c r="E23" s="101"/>
      <c r="F23" s="105"/>
      <c r="G23" s="99"/>
      <c r="H23" s="99"/>
      <c r="I23" s="99"/>
      <c r="J23" s="101"/>
      <c r="K23" s="100"/>
      <c r="L23" s="105"/>
      <c r="M23" s="99"/>
      <c r="N23" s="100"/>
      <c r="O23" s="105"/>
      <c r="P23" s="99"/>
      <c r="Q23" s="101"/>
      <c r="R23" s="108"/>
    </row>
    <row r="24" spans="2:18">
      <c r="B24" s="94"/>
      <c r="C24" s="92"/>
      <c r="D24" s="92"/>
      <c r="E24" s="102" t="s">
        <v>85</v>
      </c>
      <c r="F24" s="214" t="e">
        <f>ROUND(SUM(O44:O49)/1000+((E129*1.5+E129*1.7)*365*F129/1000*0.4),3)</f>
        <v>#REF!</v>
      </c>
      <c r="G24" s="92" t="e">
        <f>VLOOKUP(E24,#REF!,2,FALSE)</f>
        <v>#REF!</v>
      </c>
      <c r="H24" s="92" t="e">
        <f>VLOOKUP(E24,#REF!,3,FALSE)</f>
        <v>#REF!</v>
      </c>
      <c r="I24" s="92" t="e">
        <f>VLOOKUP(E24,#REF!,4,FALSE)</f>
        <v>#REF!</v>
      </c>
      <c r="J24" s="102" t="e">
        <f>VLOOKUP(E24,#REF!,5,FALSE)</f>
        <v>#REF!</v>
      </c>
      <c r="K24" s="93" t="e">
        <f t="shared" ref="K24:K30" si="10">F24*J24*H24</f>
        <v>#REF!</v>
      </c>
      <c r="L24" s="94" t="e">
        <f>VLOOKUP(E24,#REF!,7,FALSE)</f>
        <v>#REF!</v>
      </c>
      <c r="M24" s="92" t="e">
        <f>VLOOKUP(E24,#REF!,9,FALSE)</f>
        <v>#REF!</v>
      </c>
      <c r="N24" s="93" t="e">
        <f>VLOOKUP(E24,#REF!,11,FALSE)</f>
        <v>#REF!</v>
      </c>
      <c r="O24" s="94" t="e">
        <f>ROUND(K24*L24/1000,0)</f>
        <v>#REF!</v>
      </c>
      <c r="P24" s="92" t="e">
        <f t="shared" ref="P24:P30" si="11">ROUND(M24*K24/1000,3)</f>
        <v>#REF!</v>
      </c>
      <c r="Q24" s="102" t="e">
        <f t="shared" ref="Q24:Q30" si="12">ROUND(K24*N24/1000,3)</f>
        <v>#REF!</v>
      </c>
      <c r="R24" s="109" t="e">
        <f t="shared" ref="R24:R30" si="13">ROUND(O24+P24*GWP_CH4+Q24*GWP_N2O,0)</f>
        <v>#REF!</v>
      </c>
    </row>
    <row r="25" spans="2:18">
      <c r="B25" s="94"/>
      <c r="C25" s="92"/>
      <c r="D25" s="92"/>
      <c r="E25" s="102" t="s">
        <v>84</v>
      </c>
      <c r="F25" s="94" t="e">
        <f>ROUND(SUM(O52:O57)/1000+((E129*1.5+E129*1.7)*365*F129/1000*0.5),3)</f>
        <v>#REF!</v>
      </c>
      <c r="G25" s="92" t="e">
        <f>VLOOKUP(E25,#REF!,2,FALSE)</f>
        <v>#REF!</v>
      </c>
      <c r="H25" s="92" t="e">
        <f>VLOOKUP(E25,#REF!,3,FALSE)</f>
        <v>#REF!</v>
      </c>
      <c r="I25" s="92" t="e">
        <f>VLOOKUP(E25,#REF!,4,FALSE)</f>
        <v>#REF!</v>
      </c>
      <c r="J25" s="102" t="e">
        <f>VLOOKUP(E25,#REF!,5,FALSE)</f>
        <v>#REF!</v>
      </c>
      <c r="K25" s="93" t="e">
        <f t="shared" si="10"/>
        <v>#REF!</v>
      </c>
      <c r="L25" s="94" t="e">
        <f>VLOOKUP(E25,#REF!,7,FALSE)</f>
        <v>#REF!</v>
      </c>
      <c r="M25" s="92" t="e">
        <f>VLOOKUP(E25,#REF!,9,FALSE)</f>
        <v>#REF!</v>
      </c>
      <c r="N25" s="93" t="e">
        <f>VLOOKUP(E25,#REF!,11,FALSE)</f>
        <v>#REF!</v>
      </c>
      <c r="O25" s="94" t="e">
        <f t="shared" ref="O25:O30" si="14">ROUND(K25*L25/1000,0)</f>
        <v>#REF!</v>
      </c>
      <c r="P25" s="92" t="e">
        <f t="shared" si="11"/>
        <v>#REF!</v>
      </c>
      <c r="Q25" s="102" t="e">
        <f t="shared" si="12"/>
        <v>#REF!</v>
      </c>
      <c r="R25" s="109" t="e">
        <f t="shared" si="13"/>
        <v>#REF!</v>
      </c>
    </row>
    <row r="26" spans="2:18">
      <c r="B26" s="94"/>
      <c r="C26" s="92"/>
      <c r="D26" s="92"/>
      <c r="E26" s="102" t="s">
        <v>83</v>
      </c>
      <c r="F26" s="94" t="e">
        <f>ROUND(SUM(O60:O65)/1000+((E129*1.5+E129*1.7)*365*F129/1000*0.1),3)</f>
        <v>#REF!</v>
      </c>
      <c r="G26" s="92" t="e">
        <f>VLOOKUP(E26,#REF!,2,FALSE)</f>
        <v>#REF!</v>
      </c>
      <c r="H26" s="92" t="e">
        <f>VLOOKUP(E26,#REF!,3,FALSE)</f>
        <v>#REF!</v>
      </c>
      <c r="I26" s="92" t="e">
        <f>VLOOKUP(E26,#REF!,4,FALSE)</f>
        <v>#REF!</v>
      </c>
      <c r="J26" s="102" t="e">
        <f>VLOOKUP(E26,#REF!,5,FALSE)</f>
        <v>#REF!</v>
      </c>
      <c r="K26" s="93" t="e">
        <f t="shared" si="10"/>
        <v>#REF!</v>
      </c>
      <c r="L26" s="94" t="e">
        <f>VLOOKUP(E26,#REF!,7,FALSE)</f>
        <v>#REF!</v>
      </c>
      <c r="M26" s="92" t="e">
        <f>VLOOKUP(E26,#REF!,9,FALSE)</f>
        <v>#REF!</v>
      </c>
      <c r="N26" s="93" t="e">
        <f>VLOOKUP(E26,#REF!,11,FALSE)</f>
        <v>#REF!</v>
      </c>
      <c r="O26" s="94" t="e">
        <f t="shared" si="14"/>
        <v>#REF!</v>
      </c>
      <c r="P26" s="92" t="e">
        <f t="shared" si="11"/>
        <v>#REF!</v>
      </c>
      <c r="Q26" s="102" t="e">
        <f t="shared" si="12"/>
        <v>#REF!</v>
      </c>
      <c r="R26" s="109" t="e">
        <f t="shared" si="13"/>
        <v>#REF!</v>
      </c>
    </row>
    <row r="27" spans="2:18">
      <c r="B27" s="94"/>
      <c r="C27" s="92"/>
      <c r="D27" s="92"/>
      <c r="E27" s="102" t="s">
        <v>80</v>
      </c>
      <c r="F27" s="94" t="e">
        <f>ROUND(SUM(O68:O73)/1000,3)</f>
        <v>#REF!</v>
      </c>
      <c r="G27" s="92" t="e">
        <f>VLOOKUP(E27,#REF!,2,FALSE)</f>
        <v>#REF!</v>
      </c>
      <c r="H27" s="92" t="e">
        <f>VLOOKUP(E27,#REF!,3,FALSE)</f>
        <v>#REF!</v>
      </c>
      <c r="I27" s="92" t="e">
        <f>VLOOKUP(E27,#REF!,4,FALSE)</f>
        <v>#REF!</v>
      </c>
      <c r="J27" s="102" t="e">
        <f>VLOOKUP(E27,#REF!,5,FALSE)</f>
        <v>#REF!</v>
      </c>
      <c r="K27" s="93" t="e">
        <f t="shared" si="10"/>
        <v>#REF!</v>
      </c>
      <c r="L27" s="94" t="e">
        <f>VLOOKUP(E27,#REF!,7,FALSE)</f>
        <v>#REF!</v>
      </c>
      <c r="M27" s="92" t="e">
        <f>VLOOKUP(E27,#REF!,9,FALSE)</f>
        <v>#REF!</v>
      </c>
      <c r="N27" s="93" t="e">
        <f>VLOOKUP(E27,#REF!,11,FALSE)</f>
        <v>#REF!</v>
      </c>
      <c r="O27" s="94" t="e">
        <f t="shared" si="14"/>
        <v>#REF!</v>
      </c>
      <c r="P27" s="92" t="e">
        <f t="shared" si="11"/>
        <v>#REF!</v>
      </c>
      <c r="Q27" s="102" t="e">
        <f t="shared" si="12"/>
        <v>#REF!</v>
      </c>
      <c r="R27" s="109" t="e">
        <f t="shared" si="13"/>
        <v>#REF!</v>
      </c>
    </row>
    <row r="28" spans="2:18">
      <c r="B28" s="94"/>
      <c r="C28" s="92"/>
      <c r="D28" s="92"/>
      <c r="E28" s="102" t="s">
        <v>161</v>
      </c>
      <c r="F28" s="94" t="e">
        <f>ROUND(SUM(O84:O89)/1000,3)</f>
        <v>#REF!</v>
      </c>
      <c r="G28" s="92" t="e">
        <f>VLOOKUP(E28,#REF!,2,FALSE)</f>
        <v>#REF!</v>
      </c>
      <c r="H28" s="92" t="e">
        <f>VLOOKUP(E28,#REF!,3,FALSE)</f>
        <v>#REF!</v>
      </c>
      <c r="I28" s="92" t="e">
        <f>VLOOKUP(E28,#REF!,4,FALSE)</f>
        <v>#REF!</v>
      </c>
      <c r="J28" s="102" t="e">
        <f>VLOOKUP(E28,#REF!,5,FALSE)</f>
        <v>#REF!</v>
      </c>
      <c r="K28" s="93" t="e">
        <f t="shared" si="10"/>
        <v>#REF!</v>
      </c>
      <c r="L28" s="94" t="e">
        <f>VLOOKUP(E28,#REF!,7,FALSE)</f>
        <v>#REF!</v>
      </c>
      <c r="M28" s="92" t="e">
        <f>VLOOKUP(E28,#REF!,9,FALSE)</f>
        <v>#REF!</v>
      </c>
      <c r="N28" s="93" t="e">
        <f>VLOOKUP(E28,#REF!,11,FALSE)</f>
        <v>#REF!</v>
      </c>
      <c r="O28" s="94" t="e">
        <f t="shared" si="14"/>
        <v>#REF!</v>
      </c>
      <c r="P28" s="92" t="e">
        <f t="shared" si="11"/>
        <v>#REF!</v>
      </c>
      <c r="Q28" s="102" t="e">
        <f t="shared" si="12"/>
        <v>#REF!</v>
      </c>
      <c r="R28" s="109" t="e">
        <f t="shared" si="13"/>
        <v>#REF!</v>
      </c>
    </row>
    <row r="29" spans="2:18">
      <c r="B29" s="94"/>
      <c r="C29" s="92"/>
      <c r="D29" s="92"/>
      <c r="E29" s="102" t="s">
        <v>160</v>
      </c>
      <c r="F29" s="94" t="e">
        <f>ROUND(SUM(O76:O81)/1000,3)</f>
        <v>#REF!</v>
      </c>
      <c r="G29" s="92" t="e">
        <f>VLOOKUP(E29,#REF!,2,FALSE)</f>
        <v>#REF!</v>
      </c>
      <c r="H29" s="92" t="e">
        <f>VLOOKUP(E29,#REF!,3,FALSE)</f>
        <v>#REF!</v>
      </c>
      <c r="I29" s="92" t="e">
        <f>VLOOKUP(E29,#REF!,4,FALSE)</f>
        <v>#REF!</v>
      </c>
      <c r="J29" s="102" t="e">
        <f>VLOOKUP(E29,#REF!,5,FALSE)</f>
        <v>#REF!</v>
      </c>
      <c r="K29" s="93" t="e">
        <f t="shared" si="10"/>
        <v>#REF!</v>
      </c>
      <c r="L29" s="94" t="e">
        <f>VLOOKUP(E29,#REF!,7,FALSE)</f>
        <v>#REF!</v>
      </c>
      <c r="M29" s="92" t="e">
        <f>VLOOKUP(E29,#REF!,9,FALSE)</f>
        <v>#REF!</v>
      </c>
      <c r="N29" s="93" t="e">
        <f>VLOOKUP(E29,#REF!,11,FALSE)</f>
        <v>#REF!</v>
      </c>
      <c r="O29" s="94" t="e">
        <f t="shared" si="14"/>
        <v>#REF!</v>
      </c>
      <c r="P29" s="92" t="e">
        <f t="shared" si="11"/>
        <v>#REF!</v>
      </c>
      <c r="Q29" s="102" t="e">
        <f t="shared" si="12"/>
        <v>#REF!</v>
      </c>
      <c r="R29" s="109" t="e">
        <f t="shared" si="13"/>
        <v>#REF!</v>
      </c>
    </row>
    <row r="30" spans="2:18">
      <c r="B30" s="94"/>
      <c r="C30" s="92"/>
      <c r="D30" s="92"/>
      <c r="E30" s="102" t="s">
        <v>77</v>
      </c>
      <c r="F30" s="94" t="e">
        <f>ROUND(SUM(O92:O97)/1000,3)</f>
        <v>#REF!</v>
      </c>
      <c r="G30" s="92" t="e">
        <f>VLOOKUP(E30,#REF!,2,FALSE)</f>
        <v>#REF!</v>
      </c>
      <c r="H30" s="92" t="e">
        <f>VLOOKUP(E30,#REF!,3,FALSE)</f>
        <v>#REF!</v>
      </c>
      <c r="I30" s="92" t="e">
        <f>VLOOKUP(E30,#REF!,4,FALSE)</f>
        <v>#REF!</v>
      </c>
      <c r="J30" s="102" t="e">
        <f>VLOOKUP(E30,#REF!,5,FALSE)</f>
        <v>#REF!</v>
      </c>
      <c r="K30" s="93" t="e">
        <f t="shared" si="10"/>
        <v>#REF!</v>
      </c>
      <c r="L30" s="94" t="e">
        <f>VLOOKUP(E30,#REF!,7,FALSE)</f>
        <v>#REF!</v>
      </c>
      <c r="M30" s="92" t="e">
        <f>VLOOKUP(E30,#REF!,9,FALSE)</f>
        <v>#REF!</v>
      </c>
      <c r="N30" s="93" t="e">
        <f>VLOOKUP(E30,#REF!,11,FALSE)</f>
        <v>#REF!</v>
      </c>
      <c r="O30" s="94" t="e">
        <f t="shared" si="14"/>
        <v>#REF!</v>
      </c>
      <c r="P30" s="92" t="e">
        <f t="shared" si="11"/>
        <v>#REF!</v>
      </c>
      <c r="Q30" s="102" t="e">
        <f t="shared" si="12"/>
        <v>#REF!</v>
      </c>
      <c r="R30" s="109" t="e">
        <f t="shared" si="13"/>
        <v>#REF!</v>
      </c>
    </row>
    <row r="31" spans="2:18">
      <c r="B31" s="20" t="s">
        <v>27</v>
      </c>
      <c r="C31" s="97" t="s">
        <v>71</v>
      </c>
      <c r="D31" s="98"/>
      <c r="E31" s="101"/>
      <c r="F31" s="105"/>
      <c r="G31" s="99"/>
      <c r="H31" s="99"/>
      <c r="I31" s="99"/>
      <c r="J31" s="101"/>
      <c r="K31" s="100"/>
      <c r="L31" s="105"/>
      <c r="M31" s="99"/>
      <c r="N31" s="100"/>
      <c r="O31" s="105"/>
      <c r="P31" s="99"/>
      <c r="Q31" s="101"/>
      <c r="R31" s="108"/>
    </row>
    <row r="32" spans="2:18">
      <c r="B32" s="20" t="s">
        <v>53</v>
      </c>
      <c r="C32" s="14"/>
      <c r="D32" s="98" t="s">
        <v>69</v>
      </c>
      <c r="E32" s="101"/>
      <c r="F32" s="105"/>
      <c r="G32" s="99"/>
      <c r="H32" s="99"/>
      <c r="I32" s="99"/>
      <c r="J32" s="101"/>
      <c r="K32" s="100"/>
      <c r="L32" s="105"/>
      <c r="M32" s="99"/>
      <c r="N32" s="100"/>
      <c r="O32" s="105"/>
      <c r="P32" s="99"/>
      <c r="Q32" s="101"/>
      <c r="R32" s="108"/>
    </row>
    <row r="33" spans="2:18">
      <c r="B33" s="94"/>
      <c r="C33" s="92"/>
      <c r="D33" s="92"/>
      <c r="E33" s="102" t="s">
        <v>77</v>
      </c>
      <c r="F33" s="200">
        <v>63968</v>
      </c>
      <c r="G33" s="92" t="e">
        <f>VLOOKUP(E33,#REF!,2,FALSE)</f>
        <v>#REF!</v>
      </c>
      <c r="H33" s="92" t="e">
        <f>VLOOKUP(E33,#REF!,3,FALSE)</f>
        <v>#REF!</v>
      </c>
      <c r="I33" s="92" t="e">
        <f>VLOOKUP(E33,#REF!,4,FALSE)</f>
        <v>#REF!</v>
      </c>
      <c r="J33" s="102" t="e">
        <f>VLOOKUP(E33,#REF!,5,FALSE)</f>
        <v>#REF!</v>
      </c>
      <c r="K33" s="93" t="e">
        <f>F33*J33*H33</f>
        <v>#REF!</v>
      </c>
      <c r="L33" s="94" t="e">
        <f>VLOOKUP(E33,#REF!,7,FALSE)</f>
        <v>#REF!</v>
      </c>
      <c r="M33" s="92" t="e">
        <f>VLOOKUP(E33,#REF!,9,FALSE)</f>
        <v>#REF!</v>
      </c>
      <c r="N33" s="93" t="e">
        <f>VLOOKUP(E33,#REF!,11,FALSE)</f>
        <v>#REF!</v>
      </c>
      <c r="O33" s="94" t="e">
        <f>ROUND(K33*L33/1000,0)</f>
        <v>#REF!</v>
      </c>
      <c r="P33" s="92" t="e">
        <f>ROUND(M33*K33/1000,3)</f>
        <v>#REF!</v>
      </c>
      <c r="Q33" s="102" t="e">
        <f>ROUND(K33*N33/1000,3)</f>
        <v>#REF!</v>
      </c>
      <c r="R33" s="109" t="e">
        <f>ROUND(O33+P33*GWP_CH4+Q33*GWP_N2O,0)</f>
        <v>#REF!</v>
      </c>
    </row>
    <row r="34" spans="2:18">
      <c r="B34" s="20" t="s">
        <v>158</v>
      </c>
      <c r="C34" s="14"/>
      <c r="D34" s="98" t="s">
        <v>73</v>
      </c>
      <c r="E34" s="101"/>
      <c r="F34" s="105"/>
      <c r="G34" s="99"/>
      <c r="H34" s="99"/>
      <c r="I34" s="99"/>
      <c r="J34" s="101"/>
      <c r="K34" s="100"/>
      <c r="L34" s="105"/>
      <c r="M34" s="99"/>
      <c r="N34" s="100"/>
      <c r="O34" s="105"/>
      <c r="P34" s="99"/>
      <c r="Q34" s="101"/>
      <c r="R34" s="108"/>
    </row>
    <row r="35" spans="2:18">
      <c r="B35" s="94"/>
      <c r="C35" s="92"/>
      <c r="D35" s="92"/>
      <c r="E35" s="102" t="s">
        <v>84</v>
      </c>
      <c r="F35" s="94" t="e">
        <f>ROUND(G126,3)</f>
        <v>#REF!</v>
      </c>
      <c r="G35" s="92" t="e">
        <f>VLOOKUP(E35,#REF!,2,FALSE)</f>
        <v>#REF!</v>
      </c>
      <c r="H35" s="92" t="e">
        <f>VLOOKUP(E35,#REF!,3,FALSE)</f>
        <v>#REF!</v>
      </c>
      <c r="I35" s="92" t="e">
        <f>VLOOKUP(E35,#REF!,4,FALSE)</f>
        <v>#REF!</v>
      </c>
      <c r="J35" s="102" t="e">
        <f>VLOOKUP(E35,#REF!,5,FALSE)</f>
        <v>#REF!</v>
      </c>
      <c r="K35" s="93" t="e">
        <f>F35*J35*H35</f>
        <v>#REF!</v>
      </c>
      <c r="L35" s="94" t="e">
        <f>VLOOKUP(E35,#REF!,7,FALSE)</f>
        <v>#REF!</v>
      </c>
      <c r="M35" s="92" t="e">
        <f>VLOOKUP(E35,#REF!,9,FALSE)</f>
        <v>#REF!</v>
      </c>
      <c r="N35" s="93" t="e">
        <f>VLOOKUP(E35,#REF!,11,FALSE)</f>
        <v>#REF!</v>
      </c>
      <c r="O35" s="94" t="e">
        <f>ROUND(K35*L35/1000,0)</f>
        <v>#REF!</v>
      </c>
      <c r="P35" s="92" t="e">
        <f>ROUND(M35*K35/1000,3)</f>
        <v>#REF!</v>
      </c>
      <c r="Q35" s="102" t="e">
        <f>ROUND(K35*N35/1000,3)</f>
        <v>#REF!</v>
      </c>
      <c r="R35" s="109" t="e">
        <f>ROUND(O35+P35*GWP_CH4+Q35*GWP_N2O,0)</f>
        <v>#REF!</v>
      </c>
    </row>
    <row r="36" spans="2:18">
      <c r="B36" s="94"/>
      <c r="C36" s="92"/>
      <c r="D36" s="92"/>
      <c r="E36" s="102" t="s">
        <v>77</v>
      </c>
      <c r="F36" s="94" t="e">
        <f>ROUND(H126,3)</f>
        <v>#REF!</v>
      </c>
      <c r="G36" s="92" t="e">
        <f>VLOOKUP(E36,#REF!,2,FALSE)</f>
        <v>#REF!</v>
      </c>
      <c r="H36" s="92" t="e">
        <f>VLOOKUP(E36,#REF!,3,FALSE)</f>
        <v>#REF!</v>
      </c>
      <c r="I36" s="92" t="e">
        <f>VLOOKUP(E36,#REF!,4,FALSE)</f>
        <v>#REF!</v>
      </c>
      <c r="J36" s="102" t="e">
        <f>VLOOKUP(E36,#REF!,5,FALSE)</f>
        <v>#REF!</v>
      </c>
      <c r="K36" s="93" t="e">
        <f>F36*J36*H36</f>
        <v>#REF!</v>
      </c>
      <c r="L36" s="94" t="e">
        <f>VLOOKUP(E36,#REF!,7,FALSE)</f>
        <v>#REF!</v>
      </c>
      <c r="M36" s="92" t="e">
        <f>VLOOKUP(E36,#REF!,9,FALSE)</f>
        <v>#REF!</v>
      </c>
      <c r="N36" s="93" t="e">
        <f>VLOOKUP(E36,#REF!,11,FALSE)</f>
        <v>#REF!</v>
      </c>
      <c r="O36" s="94" t="e">
        <f>ROUND(K36*L36/1000,0)</f>
        <v>#REF!</v>
      </c>
      <c r="P36" s="92" t="e">
        <f>ROUND(M36*K36/1000,3)</f>
        <v>#REF!</v>
      </c>
      <c r="Q36" s="102" t="e">
        <f>ROUND(K36*N36/1000,3)</f>
        <v>#REF!</v>
      </c>
      <c r="R36" s="109" t="e">
        <f>ROUND(O36+P36*GWP_CH4+Q36*GWP_N2O,0)</f>
        <v>#REF!</v>
      </c>
    </row>
    <row r="37" spans="2:18">
      <c r="B37" s="20" t="s">
        <v>159</v>
      </c>
      <c r="C37" s="14"/>
      <c r="D37" s="98" t="s">
        <v>70</v>
      </c>
      <c r="E37" s="101"/>
      <c r="F37" s="105"/>
      <c r="G37" s="99"/>
      <c r="H37" s="99"/>
      <c r="I37" s="99"/>
      <c r="J37" s="101"/>
      <c r="K37" s="100"/>
      <c r="L37" s="105"/>
      <c r="M37" s="99"/>
      <c r="N37" s="100"/>
      <c r="O37" s="105"/>
      <c r="P37" s="99"/>
      <c r="Q37" s="101"/>
      <c r="R37" s="108"/>
    </row>
    <row r="38" spans="2:18">
      <c r="B38" s="94"/>
      <c r="C38" s="92"/>
      <c r="D38" s="92"/>
      <c r="E38" s="102" t="s">
        <v>84</v>
      </c>
      <c r="F38" s="94"/>
      <c r="G38" s="92" t="e">
        <f>VLOOKUP(E38,#REF!,2,FALSE)</f>
        <v>#REF!</v>
      </c>
      <c r="H38" s="92" t="e">
        <f>VLOOKUP(E38,#REF!,3,FALSE)</f>
        <v>#REF!</v>
      </c>
      <c r="I38" s="92" t="e">
        <f>VLOOKUP(E38,#REF!,4,FALSE)</f>
        <v>#REF!</v>
      </c>
      <c r="J38" s="102" t="e">
        <f>VLOOKUP(E38,#REF!,5,FALSE)</f>
        <v>#REF!</v>
      </c>
      <c r="K38" s="93" t="e">
        <f>F38*J38*H38</f>
        <v>#REF!</v>
      </c>
      <c r="L38" s="94" t="e">
        <f>VLOOKUP(E38,#REF!,7,FALSE)</f>
        <v>#REF!</v>
      </c>
      <c r="M38" s="92" t="e">
        <f>VLOOKUP(E38,#REF!,9,FALSE)</f>
        <v>#REF!</v>
      </c>
      <c r="N38" s="93" t="e">
        <f>VLOOKUP(E38,#REF!,11,FALSE)</f>
        <v>#REF!</v>
      </c>
      <c r="O38" s="94" t="e">
        <f>ROUND(K38*L38/1000,0)</f>
        <v>#REF!</v>
      </c>
      <c r="P38" s="92" t="e">
        <f>ROUND(M38*K38/1000,3)</f>
        <v>#REF!</v>
      </c>
      <c r="Q38" s="102" t="e">
        <f>ROUND(K38*N38/1000,3)</f>
        <v>#REF!</v>
      </c>
      <c r="R38" s="109" t="e">
        <f>ROUND(O38+P38*GWP_CH4+Q38*GWP_N2O,0)</f>
        <v>#REF!</v>
      </c>
    </row>
    <row r="39" spans="2:18" ht="15.75" thickBot="1">
      <c r="B39" s="106"/>
      <c r="C39" s="95"/>
      <c r="D39" s="95"/>
      <c r="E39" s="96" t="s">
        <v>77</v>
      </c>
      <c r="F39" s="106"/>
      <c r="G39" s="95" t="e">
        <f>VLOOKUP(E39,#REF!,2,FALSE)</f>
        <v>#REF!</v>
      </c>
      <c r="H39" s="95" t="e">
        <f>VLOOKUP(E39,#REF!,3,FALSE)</f>
        <v>#REF!</v>
      </c>
      <c r="I39" s="95" t="e">
        <f>VLOOKUP(E39,#REF!,4,FALSE)</f>
        <v>#REF!</v>
      </c>
      <c r="J39" s="103" t="e">
        <f>VLOOKUP(E39,#REF!,5,FALSE)</f>
        <v>#REF!</v>
      </c>
      <c r="K39" s="96" t="e">
        <f>F39*J39*H39</f>
        <v>#REF!</v>
      </c>
      <c r="L39" s="106" t="e">
        <f>VLOOKUP(E39,#REF!,7,FALSE)</f>
        <v>#REF!</v>
      </c>
      <c r="M39" s="95" t="e">
        <f>VLOOKUP(E39,#REF!,9,FALSE)</f>
        <v>#REF!</v>
      </c>
      <c r="N39" s="96" t="e">
        <f>VLOOKUP(E39,#REF!,11,FALSE)</f>
        <v>#REF!</v>
      </c>
      <c r="O39" s="106" t="e">
        <f>ROUND(K39*L39/1000,0)</f>
        <v>#REF!</v>
      </c>
      <c r="P39" s="95" t="e">
        <f>ROUND(M39*K39/1000,3)</f>
        <v>#REF!</v>
      </c>
      <c r="Q39" s="103" t="e">
        <f>ROUND(K39*N39/1000,3)</f>
        <v>#REF!</v>
      </c>
      <c r="R39" s="110" t="e">
        <f>ROUND(O39+P39*GWP_CH4+Q39*GWP_N2O,0)</f>
        <v>#REF!</v>
      </c>
    </row>
    <row r="40" spans="2:18" ht="15.75" thickBot="1"/>
    <row r="41" spans="2:18" ht="15.75" thickBot="1">
      <c r="B41" s="589" t="s">
        <v>180</v>
      </c>
      <c r="C41" s="590"/>
      <c r="D41" s="590"/>
      <c r="E41" s="590"/>
      <c r="F41" s="590"/>
      <c r="G41" s="590"/>
      <c r="I41" s="580" t="s">
        <v>181</v>
      </c>
      <c r="J41" s="581"/>
      <c r="K41" s="581"/>
      <c r="L41" s="581"/>
      <c r="M41" s="581"/>
      <c r="N41" s="581"/>
      <c r="O41" s="582"/>
    </row>
    <row r="42" spans="2:18">
      <c r="B42" s="187"/>
      <c r="C42" s="583" t="s">
        <v>162</v>
      </c>
      <c r="D42" s="583"/>
      <c r="E42" s="583"/>
      <c r="F42" s="583"/>
      <c r="G42" s="184"/>
      <c r="H42" s="183"/>
      <c r="I42" s="187"/>
      <c r="J42" s="198"/>
      <c r="K42" s="583" t="s">
        <v>162</v>
      </c>
      <c r="L42" s="583"/>
      <c r="M42" s="583"/>
      <c r="N42" s="583"/>
      <c r="O42" s="184"/>
    </row>
    <row r="43" spans="2:18">
      <c r="B43" s="188" t="s">
        <v>179</v>
      </c>
      <c r="C43" s="182" t="s">
        <v>169</v>
      </c>
      <c r="D43" s="182" t="s">
        <v>170</v>
      </c>
      <c r="E43" s="182" t="s">
        <v>171</v>
      </c>
      <c r="F43" s="182" t="s">
        <v>172</v>
      </c>
      <c r="G43" s="185" t="s">
        <v>97</v>
      </c>
      <c r="I43" s="188" t="s">
        <v>179</v>
      </c>
      <c r="J43" s="182"/>
      <c r="K43" s="182" t="s">
        <v>169</v>
      </c>
      <c r="L43" s="182" t="s">
        <v>170</v>
      </c>
      <c r="M43" s="182" t="s">
        <v>171</v>
      </c>
      <c r="N43" s="182" t="s">
        <v>172</v>
      </c>
      <c r="O43" s="185" t="s">
        <v>97</v>
      </c>
    </row>
    <row r="44" spans="2:18">
      <c r="B44" s="189" t="s">
        <v>173</v>
      </c>
      <c r="C44" s="190">
        <v>1</v>
      </c>
      <c r="D44" s="190"/>
      <c r="E44" s="190">
        <v>18</v>
      </c>
      <c r="F44" s="190"/>
      <c r="G44" s="195">
        <f t="shared" ref="G44:G49" si="15">SUM(C44:F44)</f>
        <v>19</v>
      </c>
      <c r="I44" s="189" t="s">
        <v>173</v>
      </c>
      <c r="J44" s="197"/>
      <c r="K44" s="190" t="e">
        <f>C44*#REF!*#REF!/100</f>
        <v>#REF!</v>
      </c>
      <c r="L44" s="190" t="e">
        <f>D44*#REF!*#REF!/100</f>
        <v>#REF!</v>
      </c>
      <c r="M44" s="190" t="e">
        <f>E44*#REF!*#REF!/100</f>
        <v>#REF!</v>
      </c>
      <c r="N44" s="190" t="e">
        <f>F44*#REF!*#REF!/100</f>
        <v>#REF!</v>
      </c>
      <c r="O44" s="195" t="e">
        <f t="shared" ref="O44:O49" si="16">SUM(K44:N44)</f>
        <v>#REF!</v>
      </c>
    </row>
    <row r="45" spans="2:18">
      <c r="B45" s="189" t="s">
        <v>174</v>
      </c>
      <c r="C45" s="190"/>
      <c r="D45" s="190"/>
      <c r="E45" s="190">
        <v>20</v>
      </c>
      <c r="F45" s="190"/>
      <c r="G45" s="195">
        <f t="shared" si="15"/>
        <v>20</v>
      </c>
      <c r="I45" s="189" t="s">
        <v>174</v>
      </c>
      <c r="J45" s="197"/>
      <c r="K45" s="190" t="e">
        <f>C45*#REF!*#REF!/100</f>
        <v>#REF!</v>
      </c>
      <c r="L45" s="190" t="e">
        <f>D45*#REF!*#REF!/100</f>
        <v>#REF!</v>
      </c>
      <c r="M45" s="190" t="e">
        <f>E45*#REF!*#REF!/100</f>
        <v>#REF!</v>
      </c>
      <c r="N45" s="190" t="e">
        <f>F45*#REF!*#REF!/100</f>
        <v>#REF!</v>
      </c>
      <c r="O45" s="195" t="e">
        <f t="shared" si="16"/>
        <v>#REF!</v>
      </c>
    </row>
    <row r="46" spans="2:18">
      <c r="B46" s="189" t="s">
        <v>175</v>
      </c>
      <c r="C46" s="190">
        <v>11902</v>
      </c>
      <c r="D46" s="190">
        <v>391</v>
      </c>
      <c r="E46" s="190">
        <v>14</v>
      </c>
      <c r="F46" s="190">
        <v>144</v>
      </c>
      <c r="G46" s="195">
        <f t="shared" si="15"/>
        <v>12451</v>
      </c>
      <c r="I46" s="189" t="s">
        <v>175</v>
      </c>
      <c r="J46" s="197"/>
      <c r="K46" s="190" t="e">
        <f>C46*#REF!*#REF!/100</f>
        <v>#REF!</v>
      </c>
      <c r="L46" s="190" t="e">
        <f>D46*#REF!*#REF!/100</f>
        <v>#REF!</v>
      </c>
      <c r="M46" s="190" t="e">
        <f>E46*#REF!*#REF!/100</f>
        <v>#REF!</v>
      </c>
      <c r="N46" s="190" t="e">
        <f>F46*#REF!*#REF!/100</f>
        <v>#REF!</v>
      </c>
      <c r="O46" s="195" t="e">
        <f t="shared" si="16"/>
        <v>#REF!</v>
      </c>
    </row>
    <row r="47" spans="2:18">
      <c r="B47" s="189" t="s">
        <v>176</v>
      </c>
      <c r="C47" s="190">
        <v>3790</v>
      </c>
      <c r="D47" s="190">
        <v>4529</v>
      </c>
      <c r="E47" s="190">
        <v>4101</v>
      </c>
      <c r="F47" s="190"/>
      <c r="G47" s="195">
        <f t="shared" si="15"/>
        <v>12420</v>
      </c>
      <c r="I47" s="189" t="s">
        <v>176</v>
      </c>
      <c r="J47" s="197"/>
      <c r="K47" s="190" t="e">
        <f>C47*#REF!*#REF!/100</f>
        <v>#REF!</v>
      </c>
      <c r="L47" s="190" t="e">
        <f>D47*#REF!*#REF!/100</f>
        <v>#REF!</v>
      </c>
      <c r="M47" s="190" t="e">
        <f>E47*#REF!*#REF!/100</f>
        <v>#REF!</v>
      </c>
      <c r="N47" s="190" t="e">
        <f>F47*#REF!*#REF!/100</f>
        <v>#REF!</v>
      </c>
      <c r="O47" s="195" t="e">
        <f t="shared" si="16"/>
        <v>#REF!</v>
      </c>
    </row>
    <row r="48" spans="2:18">
      <c r="B48" s="189" t="s">
        <v>177</v>
      </c>
      <c r="C48" s="190">
        <v>102198</v>
      </c>
      <c r="D48" s="190">
        <v>76489</v>
      </c>
      <c r="E48" s="190">
        <v>8162</v>
      </c>
      <c r="F48" s="190"/>
      <c r="G48" s="195">
        <f t="shared" si="15"/>
        <v>186849</v>
      </c>
      <c r="I48" s="189" t="s">
        <v>177</v>
      </c>
      <c r="J48" s="197"/>
      <c r="K48" s="190" t="e">
        <f>C48*#REF!*#REF!/100</f>
        <v>#REF!</v>
      </c>
      <c r="L48" s="190" t="e">
        <f>D48*#REF!*#REF!/100</f>
        <v>#REF!</v>
      </c>
      <c r="M48" s="190" t="e">
        <f>E48*#REF!*#REF!/100</f>
        <v>#REF!</v>
      </c>
      <c r="N48" s="190" t="e">
        <f>F48*#REF!*#REF!/100</f>
        <v>#REF!</v>
      </c>
      <c r="O48" s="195" t="e">
        <f t="shared" si="16"/>
        <v>#REF!</v>
      </c>
    </row>
    <row r="49" spans="2:15">
      <c r="B49" s="189" t="s">
        <v>178</v>
      </c>
      <c r="C49" s="190">
        <v>2</v>
      </c>
      <c r="D49" s="190">
        <v>90</v>
      </c>
      <c r="E49" s="190">
        <v>223</v>
      </c>
      <c r="F49" s="190"/>
      <c r="G49" s="195">
        <f t="shared" si="15"/>
        <v>315</v>
      </c>
      <c r="I49" s="189" t="s">
        <v>178</v>
      </c>
      <c r="J49" s="197"/>
      <c r="K49" s="190" t="e">
        <f>C49*#REF!*#REF!/100</f>
        <v>#REF!</v>
      </c>
      <c r="L49" s="190" t="e">
        <f>D49*#REF!*#REF!/100</f>
        <v>#REF!</v>
      </c>
      <c r="M49" s="190" t="e">
        <f>E49*#REF!*#REF!/100</f>
        <v>#REF!</v>
      </c>
      <c r="N49" s="190" t="e">
        <f>F49*#REF!*#REF!/100</f>
        <v>#REF!</v>
      </c>
      <c r="O49" s="195" t="e">
        <f t="shared" si="16"/>
        <v>#REF!</v>
      </c>
    </row>
    <row r="50" spans="2:15">
      <c r="B50" s="191"/>
      <c r="C50" s="579" t="s">
        <v>168</v>
      </c>
      <c r="D50" s="579"/>
      <c r="E50" s="579"/>
      <c r="F50" s="579"/>
      <c r="G50" s="186"/>
      <c r="I50" s="191"/>
      <c r="J50" s="192"/>
      <c r="K50" s="579" t="s">
        <v>168</v>
      </c>
      <c r="L50" s="579"/>
      <c r="M50" s="579"/>
      <c r="N50" s="579"/>
      <c r="O50" s="186"/>
    </row>
    <row r="51" spans="2:15">
      <c r="B51" s="188" t="s">
        <v>179</v>
      </c>
      <c r="C51" s="182" t="s">
        <v>169</v>
      </c>
      <c r="D51" s="182" t="s">
        <v>170</v>
      </c>
      <c r="E51" s="182" t="s">
        <v>171</v>
      </c>
      <c r="F51" s="182" t="s">
        <v>172</v>
      </c>
      <c r="G51" s="185" t="s">
        <v>97</v>
      </c>
      <c r="I51" s="188" t="s">
        <v>179</v>
      </c>
      <c r="J51" s="182"/>
      <c r="K51" s="182" t="s">
        <v>169</v>
      </c>
      <c r="L51" s="182" t="s">
        <v>170</v>
      </c>
      <c r="M51" s="182" t="s">
        <v>171</v>
      </c>
      <c r="N51" s="182" t="s">
        <v>172</v>
      </c>
      <c r="O51" s="185" t="s">
        <v>97</v>
      </c>
    </row>
    <row r="52" spans="2:15">
      <c r="B52" s="189" t="s">
        <v>173</v>
      </c>
      <c r="C52" s="190">
        <v>2</v>
      </c>
      <c r="D52" s="190">
        <v>2</v>
      </c>
      <c r="E52" s="190">
        <v>1899</v>
      </c>
      <c r="F52" s="190">
        <v>30</v>
      </c>
      <c r="G52" s="195">
        <f t="shared" ref="G52:G57" si="17">SUM(C52:F52)</f>
        <v>1933</v>
      </c>
      <c r="I52" s="189" t="s">
        <v>173</v>
      </c>
      <c r="J52" s="197"/>
      <c r="K52" s="190" t="e">
        <f>C52*#REF!*#REF!/100</f>
        <v>#REF!</v>
      </c>
      <c r="L52" s="190" t="e">
        <f>D52*#REF!*#REF!/100</f>
        <v>#REF!</v>
      </c>
      <c r="M52" s="190" t="e">
        <f>E52*#REF!*#REF!/100</f>
        <v>#REF!</v>
      </c>
      <c r="N52" s="190" t="e">
        <f>F52*#REF!*#REF!/100</f>
        <v>#REF!</v>
      </c>
      <c r="O52" s="195" t="e">
        <f t="shared" ref="O52:O57" si="18">SUM(K52:N52)</f>
        <v>#REF!</v>
      </c>
    </row>
    <row r="53" spans="2:15">
      <c r="B53" s="189" t="s">
        <v>174</v>
      </c>
      <c r="C53" s="190">
        <v>3</v>
      </c>
      <c r="D53" s="190">
        <v>2</v>
      </c>
      <c r="E53" s="190">
        <v>4035</v>
      </c>
      <c r="F53" s="190">
        <v>13</v>
      </c>
      <c r="G53" s="195">
        <f t="shared" si="17"/>
        <v>4053</v>
      </c>
      <c r="I53" s="189" t="s">
        <v>174</v>
      </c>
      <c r="J53" s="197"/>
      <c r="K53" s="190" t="e">
        <f>C53*#REF!*#REF!/100</f>
        <v>#REF!</v>
      </c>
      <c r="L53" s="190" t="e">
        <f>D53*#REF!*#REF!/100</f>
        <v>#REF!</v>
      </c>
      <c r="M53" s="190" t="e">
        <f>E53*#REF!*#REF!/100</f>
        <v>#REF!</v>
      </c>
      <c r="N53" s="190" t="e">
        <f>F53*#REF!*#REF!/100</f>
        <v>#REF!</v>
      </c>
      <c r="O53" s="195" t="e">
        <f t="shared" si="18"/>
        <v>#REF!</v>
      </c>
    </row>
    <row r="54" spans="2:15">
      <c r="B54" s="189" t="s">
        <v>175</v>
      </c>
      <c r="C54" s="190">
        <v>5</v>
      </c>
      <c r="D54" s="190"/>
      <c r="E54" s="190"/>
      <c r="F54" s="190"/>
      <c r="G54" s="195">
        <f t="shared" si="17"/>
        <v>5</v>
      </c>
      <c r="I54" s="189" t="s">
        <v>175</v>
      </c>
      <c r="J54" s="197"/>
      <c r="K54" s="190" t="e">
        <f>C54*#REF!*#REF!/100</f>
        <v>#REF!</v>
      </c>
      <c r="L54" s="190" t="e">
        <f>D54*#REF!*#REF!/100</f>
        <v>#REF!</v>
      </c>
      <c r="M54" s="190" t="e">
        <f>E54*#REF!*#REF!/100</f>
        <v>#REF!</v>
      </c>
      <c r="N54" s="190" t="e">
        <f>F54*#REF!*#REF!/100</f>
        <v>#REF!</v>
      </c>
      <c r="O54" s="195" t="e">
        <f t="shared" si="18"/>
        <v>#REF!</v>
      </c>
    </row>
    <row r="55" spans="2:15">
      <c r="B55" s="189" t="s">
        <v>176</v>
      </c>
      <c r="C55" s="190">
        <v>2388</v>
      </c>
      <c r="D55" s="190">
        <v>12340</v>
      </c>
      <c r="E55" s="190">
        <v>29824</v>
      </c>
      <c r="F55" s="190">
        <v>429</v>
      </c>
      <c r="G55" s="195">
        <f t="shared" si="17"/>
        <v>44981</v>
      </c>
      <c r="I55" s="189" t="s">
        <v>176</v>
      </c>
      <c r="J55" s="197"/>
      <c r="K55" s="190" t="e">
        <f>C55*#REF!*#REF!/100</f>
        <v>#REF!</v>
      </c>
      <c r="L55" s="190" t="e">
        <f>D55*#REF!*#REF!/100</f>
        <v>#REF!</v>
      </c>
      <c r="M55" s="190" t="e">
        <f>E55*#REF!*#REF!/100</f>
        <v>#REF!</v>
      </c>
      <c r="N55" s="190" t="e">
        <f>F55*#REF!*#REF!/100</f>
        <v>#REF!</v>
      </c>
      <c r="O55" s="195" t="e">
        <f t="shared" si="18"/>
        <v>#REF!</v>
      </c>
    </row>
    <row r="56" spans="2:15">
      <c r="B56" s="189" t="s">
        <v>177</v>
      </c>
      <c r="C56" s="190">
        <v>31851</v>
      </c>
      <c r="D56" s="190">
        <v>84935</v>
      </c>
      <c r="E56" s="190">
        <v>19514</v>
      </c>
      <c r="F56" s="190">
        <v>1317</v>
      </c>
      <c r="G56" s="195">
        <f t="shared" si="17"/>
        <v>137617</v>
      </c>
      <c r="I56" s="189" t="s">
        <v>177</v>
      </c>
      <c r="J56" s="197"/>
      <c r="K56" s="190" t="e">
        <f>C56*#REF!*#REF!/100</f>
        <v>#REF!</v>
      </c>
      <c r="L56" s="190" t="e">
        <f>D56*#REF!*#REF!/100</f>
        <v>#REF!</v>
      </c>
      <c r="M56" s="190" t="e">
        <f>E56*#REF!*#REF!/100</f>
        <v>#REF!</v>
      </c>
      <c r="N56" s="190" t="e">
        <f>F56*#REF!*#REF!/100</f>
        <v>#REF!</v>
      </c>
      <c r="O56" s="195" t="e">
        <f t="shared" si="18"/>
        <v>#REF!</v>
      </c>
    </row>
    <row r="57" spans="2:15">
      <c r="B57" s="189" t="s">
        <v>178</v>
      </c>
      <c r="C57" s="190">
        <v>37</v>
      </c>
      <c r="D57" s="190">
        <v>327</v>
      </c>
      <c r="E57" s="190">
        <v>2783</v>
      </c>
      <c r="F57" s="190">
        <v>203</v>
      </c>
      <c r="G57" s="195">
        <f t="shared" si="17"/>
        <v>3350</v>
      </c>
      <c r="I57" s="189" t="s">
        <v>178</v>
      </c>
      <c r="J57" s="197"/>
      <c r="K57" s="190" t="e">
        <f>C57*#REF!*#REF!/100</f>
        <v>#REF!</v>
      </c>
      <c r="L57" s="190" t="e">
        <f>D57*#REF!*#REF!/100</f>
        <v>#REF!</v>
      </c>
      <c r="M57" s="190" t="e">
        <f>E57*#REF!*#REF!/100</f>
        <v>#REF!</v>
      </c>
      <c r="N57" s="190" t="e">
        <f>F57*#REF!*#REF!/100</f>
        <v>#REF!</v>
      </c>
      <c r="O57" s="195" t="e">
        <f t="shared" si="18"/>
        <v>#REF!</v>
      </c>
    </row>
    <row r="58" spans="2:15">
      <c r="B58" s="191"/>
      <c r="C58" s="579" t="s">
        <v>166</v>
      </c>
      <c r="D58" s="579"/>
      <c r="E58" s="579"/>
      <c r="F58" s="192"/>
      <c r="G58" s="186"/>
      <c r="I58" s="191"/>
      <c r="J58" s="192"/>
      <c r="K58" s="579" t="s">
        <v>166</v>
      </c>
      <c r="L58" s="579"/>
      <c r="M58" s="579"/>
      <c r="N58" s="192"/>
      <c r="O58" s="186"/>
    </row>
    <row r="59" spans="2:15">
      <c r="B59" s="188" t="s">
        <v>179</v>
      </c>
      <c r="C59" s="182" t="s">
        <v>169</v>
      </c>
      <c r="D59" s="182" t="s">
        <v>170</v>
      </c>
      <c r="E59" s="182" t="s">
        <v>171</v>
      </c>
      <c r="F59" s="182" t="s">
        <v>172</v>
      </c>
      <c r="G59" s="185" t="s">
        <v>97</v>
      </c>
      <c r="I59" s="188" t="s">
        <v>179</v>
      </c>
      <c r="J59" s="182"/>
      <c r="K59" s="182" t="s">
        <v>169</v>
      </c>
      <c r="L59" s="182" t="s">
        <v>170</v>
      </c>
      <c r="M59" s="182" t="s">
        <v>171</v>
      </c>
      <c r="N59" s="182" t="s">
        <v>172</v>
      </c>
      <c r="O59" s="185" t="s">
        <v>97</v>
      </c>
    </row>
    <row r="60" spans="2:15">
      <c r="B60" s="189" t="s">
        <v>173</v>
      </c>
      <c r="C60" s="190"/>
      <c r="D60" s="190"/>
      <c r="E60" s="190"/>
      <c r="F60" s="190"/>
      <c r="G60" s="195">
        <f t="shared" ref="G60:G65" si="19">SUM(C60:F60)</f>
        <v>0</v>
      </c>
      <c r="I60" s="189" t="s">
        <v>173</v>
      </c>
      <c r="J60" s="197"/>
      <c r="K60" s="190" t="e">
        <f>C60*#REF!*#REF!/100</f>
        <v>#REF!</v>
      </c>
      <c r="L60" s="190" t="e">
        <f>D60*#REF!*#REF!/100</f>
        <v>#REF!</v>
      </c>
      <c r="M60" s="190" t="e">
        <f>E60*#REF!*#REF!/100</f>
        <v>#REF!</v>
      </c>
      <c r="N60" s="190" t="e">
        <f>F60*#REF!*#REF!/100</f>
        <v>#REF!</v>
      </c>
      <c r="O60" s="195" t="e">
        <f t="shared" ref="O60:O65" si="20">SUM(K60:N60)</f>
        <v>#REF!</v>
      </c>
    </row>
    <row r="61" spans="2:15">
      <c r="B61" s="189" t="s">
        <v>174</v>
      </c>
      <c r="C61" s="190"/>
      <c r="D61" s="190"/>
      <c r="E61" s="190">
        <v>3</v>
      </c>
      <c r="F61" s="190"/>
      <c r="G61" s="195">
        <f t="shared" si="19"/>
        <v>3</v>
      </c>
      <c r="I61" s="189" t="s">
        <v>174</v>
      </c>
      <c r="J61" s="197"/>
      <c r="K61" s="190" t="e">
        <f>C61*#REF!*#REF!/100</f>
        <v>#REF!</v>
      </c>
      <c r="L61" s="190" t="e">
        <f>D61*#REF!*#REF!/100</f>
        <v>#REF!</v>
      </c>
      <c r="M61" s="190" t="e">
        <f>E61*#REF!*#REF!/100</f>
        <v>#REF!</v>
      </c>
      <c r="N61" s="190" t="e">
        <f>F61*#REF!*#REF!/100</f>
        <v>#REF!</v>
      </c>
      <c r="O61" s="195" t="e">
        <f t="shared" si="20"/>
        <v>#REF!</v>
      </c>
    </row>
    <row r="62" spans="2:15">
      <c r="B62" s="189" t="s">
        <v>175</v>
      </c>
      <c r="C62" s="190"/>
      <c r="D62" s="190">
        <v>1</v>
      </c>
      <c r="E62" s="190"/>
      <c r="F62" s="190"/>
      <c r="G62" s="195">
        <f t="shared" si="19"/>
        <v>1</v>
      </c>
      <c r="I62" s="189" t="s">
        <v>175</v>
      </c>
      <c r="J62" s="197"/>
      <c r="K62" s="190" t="e">
        <f>C62*#REF!*#REF!/100</f>
        <v>#REF!</v>
      </c>
      <c r="L62" s="190" t="e">
        <f>D62*#REF!*#REF!/100</f>
        <v>#REF!</v>
      </c>
      <c r="M62" s="190" t="e">
        <f>E62*#REF!*#REF!/100</f>
        <v>#REF!</v>
      </c>
      <c r="N62" s="190" t="e">
        <f>F62*#REF!*#REF!/100</f>
        <v>#REF!</v>
      </c>
      <c r="O62" s="195" t="e">
        <f t="shared" si="20"/>
        <v>#REF!</v>
      </c>
    </row>
    <row r="63" spans="2:15">
      <c r="B63" s="189" t="s">
        <v>176</v>
      </c>
      <c r="C63" s="190">
        <v>1188</v>
      </c>
      <c r="D63" s="190">
        <v>839</v>
      </c>
      <c r="E63" s="190">
        <v>340</v>
      </c>
      <c r="F63" s="190"/>
      <c r="G63" s="195">
        <f t="shared" si="19"/>
        <v>2367</v>
      </c>
      <c r="I63" s="189" t="s">
        <v>176</v>
      </c>
      <c r="J63" s="197"/>
      <c r="K63" s="190" t="e">
        <f>C63*#REF!*#REF!/100</f>
        <v>#REF!</v>
      </c>
      <c r="L63" s="190" t="e">
        <f>D63*#REF!*#REF!/100</f>
        <v>#REF!</v>
      </c>
      <c r="M63" s="190" t="e">
        <f>E63*#REF!*#REF!/100</f>
        <v>#REF!</v>
      </c>
      <c r="N63" s="190" t="e">
        <f>F63*#REF!*#REF!/100</f>
        <v>#REF!</v>
      </c>
      <c r="O63" s="195" t="e">
        <f t="shared" si="20"/>
        <v>#REF!</v>
      </c>
    </row>
    <row r="64" spans="2:15">
      <c r="B64" s="189" t="s">
        <v>177</v>
      </c>
      <c r="C64" s="190">
        <v>6743</v>
      </c>
      <c r="D64" s="190">
        <v>16381</v>
      </c>
      <c r="E64" s="190">
        <v>3320</v>
      </c>
      <c r="F64" s="190"/>
      <c r="G64" s="195">
        <f t="shared" si="19"/>
        <v>26444</v>
      </c>
      <c r="I64" s="189" t="s">
        <v>177</v>
      </c>
      <c r="J64" s="197"/>
      <c r="K64" s="190" t="e">
        <f>C64*#REF!*#REF!/100</f>
        <v>#REF!</v>
      </c>
      <c r="L64" s="190" t="e">
        <f>D64*#REF!*#REF!/100</f>
        <v>#REF!</v>
      </c>
      <c r="M64" s="190" t="e">
        <f>E64*#REF!*#REF!/100</f>
        <v>#REF!</v>
      </c>
      <c r="N64" s="190" t="e">
        <f>F64*#REF!*#REF!/100</f>
        <v>#REF!</v>
      </c>
      <c r="O64" s="195" t="e">
        <f t="shared" si="20"/>
        <v>#REF!</v>
      </c>
    </row>
    <row r="65" spans="2:15">
      <c r="B65" s="189" t="s">
        <v>178</v>
      </c>
      <c r="C65" s="190">
        <v>10</v>
      </c>
      <c r="D65" s="190">
        <v>20</v>
      </c>
      <c r="E65" s="190">
        <v>19</v>
      </c>
      <c r="F65" s="190"/>
      <c r="G65" s="195">
        <f t="shared" si="19"/>
        <v>49</v>
      </c>
      <c r="I65" s="189" t="s">
        <v>178</v>
      </c>
      <c r="J65" s="197"/>
      <c r="K65" s="190" t="e">
        <f>C65*#REF!*#REF!/100</f>
        <v>#REF!</v>
      </c>
      <c r="L65" s="190" t="e">
        <f>D65*#REF!*#REF!/100</f>
        <v>#REF!</v>
      </c>
      <c r="M65" s="190" t="e">
        <f>E65*#REF!*#REF!/100</f>
        <v>#REF!</v>
      </c>
      <c r="N65" s="190" t="e">
        <f>F65*#REF!*#REF!/100</f>
        <v>#REF!</v>
      </c>
      <c r="O65" s="195" t="e">
        <f t="shared" si="20"/>
        <v>#REF!</v>
      </c>
    </row>
    <row r="66" spans="2:15">
      <c r="B66" s="191"/>
      <c r="C66" s="579" t="s">
        <v>167</v>
      </c>
      <c r="D66" s="579"/>
      <c r="E66" s="579"/>
      <c r="F66" s="579"/>
      <c r="G66" s="186"/>
      <c r="I66" s="191"/>
      <c r="J66" s="192"/>
      <c r="K66" s="579" t="s">
        <v>167</v>
      </c>
      <c r="L66" s="579"/>
      <c r="M66" s="579"/>
      <c r="N66" s="579"/>
      <c r="O66" s="186"/>
    </row>
    <row r="67" spans="2:15">
      <c r="B67" s="188" t="s">
        <v>179</v>
      </c>
      <c r="C67" s="182" t="s">
        <v>169</v>
      </c>
      <c r="D67" s="182" t="s">
        <v>170</v>
      </c>
      <c r="E67" s="182" t="s">
        <v>171</v>
      </c>
      <c r="F67" s="182" t="s">
        <v>172</v>
      </c>
      <c r="G67" s="185" t="s">
        <v>97</v>
      </c>
      <c r="I67" s="188" t="s">
        <v>179</v>
      </c>
      <c r="J67" s="182"/>
      <c r="K67" s="182" t="s">
        <v>169</v>
      </c>
      <c r="L67" s="182" t="s">
        <v>170</v>
      </c>
      <c r="M67" s="182" t="s">
        <v>171</v>
      </c>
      <c r="N67" s="182" t="s">
        <v>172</v>
      </c>
      <c r="O67" s="185" t="s">
        <v>97</v>
      </c>
    </row>
    <row r="68" spans="2:15">
      <c r="B68" s="189" t="s">
        <v>173</v>
      </c>
      <c r="C68" s="190"/>
      <c r="D68" s="190"/>
      <c r="E68" s="190">
        <v>5</v>
      </c>
      <c r="F68" s="190"/>
      <c r="G68" s="195">
        <f t="shared" ref="G68:G73" si="21">SUM(C68:F68)</f>
        <v>5</v>
      </c>
      <c r="I68" s="189" t="s">
        <v>173</v>
      </c>
      <c r="J68" s="197"/>
      <c r="K68" s="190" t="e">
        <f>C68*#REF!*#REF!/100</f>
        <v>#REF!</v>
      </c>
      <c r="L68" s="190" t="e">
        <f>D68*#REF!*#REF!/100</f>
        <v>#REF!</v>
      </c>
      <c r="M68" s="190" t="e">
        <f>E68*#REF!*#REF!/100</f>
        <v>#REF!</v>
      </c>
      <c r="N68" s="190" t="e">
        <f>F68*#REF!*#REF!/100</f>
        <v>#REF!</v>
      </c>
      <c r="O68" s="195" t="e">
        <f t="shared" ref="O68:O73" si="22">SUM(K68:N68)</f>
        <v>#REF!</v>
      </c>
    </row>
    <row r="69" spans="2:15">
      <c r="B69" s="189" t="s">
        <v>174</v>
      </c>
      <c r="C69" s="190"/>
      <c r="D69" s="190"/>
      <c r="E69" s="190"/>
      <c r="F69" s="190"/>
      <c r="G69" s="195">
        <f t="shared" si="21"/>
        <v>0</v>
      </c>
      <c r="I69" s="189" t="s">
        <v>174</v>
      </c>
      <c r="J69" s="197"/>
      <c r="K69" s="190" t="e">
        <f>C69*#REF!*#REF!/100</f>
        <v>#REF!</v>
      </c>
      <c r="L69" s="190" t="e">
        <f>D69*#REF!*#REF!/100</f>
        <v>#REF!</v>
      </c>
      <c r="M69" s="190" t="e">
        <f>E69*#REF!*#REF!/100</f>
        <v>#REF!</v>
      </c>
      <c r="N69" s="190" t="e">
        <f>F69*#REF!*#REF!/100</f>
        <v>#REF!</v>
      </c>
      <c r="O69" s="195" t="e">
        <f t="shared" si="22"/>
        <v>#REF!</v>
      </c>
    </row>
    <row r="70" spans="2:15">
      <c r="B70" s="189" t="s">
        <v>175</v>
      </c>
      <c r="C70" s="190"/>
      <c r="D70" s="190"/>
      <c r="E70" s="190"/>
      <c r="F70" s="190"/>
      <c r="G70" s="195">
        <f t="shared" si="21"/>
        <v>0</v>
      </c>
      <c r="I70" s="189" t="s">
        <v>175</v>
      </c>
      <c r="J70" s="197"/>
      <c r="K70" s="190" t="e">
        <f>C70*#REF!*#REF!/100</f>
        <v>#REF!</v>
      </c>
      <c r="L70" s="190" t="e">
        <f>D70*#REF!*#REF!/100</f>
        <v>#REF!</v>
      </c>
      <c r="M70" s="190" t="e">
        <f>E70*#REF!*#REF!/100</f>
        <v>#REF!</v>
      </c>
      <c r="N70" s="190" t="e">
        <f>F70*#REF!*#REF!/100</f>
        <v>#REF!</v>
      </c>
      <c r="O70" s="195" t="e">
        <f t="shared" si="22"/>
        <v>#REF!</v>
      </c>
    </row>
    <row r="71" spans="2:15">
      <c r="B71" s="189" t="s">
        <v>176</v>
      </c>
      <c r="C71" s="190">
        <v>49</v>
      </c>
      <c r="D71" s="190">
        <v>64</v>
      </c>
      <c r="E71" s="190">
        <v>47</v>
      </c>
      <c r="F71" s="190"/>
      <c r="G71" s="195">
        <f t="shared" si="21"/>
        <v>160</v>
      </c>
      <c r="I71" s="189" t="s">
        <v>176</v>
      </c>
      <c r="J71" s="197"/>
      <c r="K71" s="190" t="e">
        <f>C71*#REF!*#REF!/100</f>
        <v>#REF!</v>
      </c>
      <c r="L71" s="190" t="e">
        <f>D71*#REF!*#REF!/100</f>
        <v>#REF!</v>
      </c>
      <c r="M71" s="190" t="e">
        <f>E71*#REF!*#REF!/100</f>
        <v>#REF!</v>
      </c>
      <c r="N71" s="190" t="e">
        <f>F71*#REF!*#REF!/100</f>
        <v>#REF!</v>
      </c>
      <c r="O71" s="195" t="e">
        <f t="shared" si="22"/>
        <v>#REF!</v>
      </c>
    </row>
    <row r="72" spans="2:15">
      <c r="B72" s="189" t="s">
        <v>177</v>
      </c>
      <c r="C72" s="190">
        <v>30</v>
      </c>
      <c r="D72" s="190">
        <v>109</v>
      </c>
      <c r="E72" s="190">
        <v>11</v>
      </c>
      <c r="F72" s="190"/>
      <c r="G72" s="195">
        <f t="shared" si="21"/>
        <v>150</v>
      </c>
      <c r="I72" s="189" t="s">
        <v>177</v>
      </c>
      <c r="J72" s="197"/>
      <c r="K72" s="190" t="e">
        <f>C72*#REF!*#REF!/100</f>
        <v>#REF!</v>
      </c>
      <c r="L72" s="190" t="e">
        <f>D72*#REF!*#REF!/100</f>
        <v>#REF!</v>
      </c>
      <c r="M72" s="190" t="e">
        <f>E72*#REF!*#REF!/100</f>
        <v>#REF!</v>
      </c>
      <c r="N72" s="190" t="e">
        <f>F72*#REF!*#REF!/100</f>
        <v>#REF!</v>
      </c>
      <c r="O72" s="195" t="e">
        <f t="shared" si="22"/>
        <v>#REF!</v>
      </c>
    </row>
    <row r="73" spans="2:15">
      <c r="B73" s="189" t="s">
        <v>178</v>
      </c>
      <c r="C73" s="190">
        <v>2</v>
      </c>
      <c r="D73" s="190"/>
      <c r="E73" s="190">
        <v>3</v>
      </c>
      <c r="F73" s="190"/>
      <c r="G73" s="195">
        <f t="shared" si="21"/>
        <v>5</v>
      </c>
      <c r="I73" s="189" t="s">
        <v>178</v>
      </c>
      <c r="J73" s="197"/>
      <c r="K73" s="190" t="e">
        <f>C73*#REF!*#REF!/100</f>
        <v>#REF!</v>
      </c>
      <c r="L73" s="190" t="e">
        <f>D73*#REF!*#REF!/100</f>
        <v>#REF!</v>
      </c>
      <c r="M73" s="190" t="e">
        <f>E73*#REF!*#REF!/100</f>
        <v>#REF!</v>
      </c>
      <c r="N73" s="190" t="e">
        <f>F73*#REF!*#REF!/100</f>
        <v>#REF!</v>
      </c>
      <c r="O73" s="195" t="e">
        <f t="shared" si="22"/>
        <v>#REF!</v>
      </c>
    </row>
    <row r="74" spans="2:15">
      <c r="B74" s="191"/>
      <c r="C74" s="579" t="s">
        <v>163</v>
      </c>
      <c r="D74" s="579"/>
      <c r="E74" s="579"/>
      <c r="F74" s="579"/>
      <c r="G74" s="186"/>
      <c r="I74" s="191"/>
      <c r="J74" s="192"/>
      <c r="K74" s="579" t="s">
        <v>163</v>
      </c>
      <c r="L74" s="579"/>
      <c r="M74" s="579"/>
      <c r="N74" s="579"/>
      <c r="O74" s="186"/>
    </row>
    <row r="75" spans="2:15">
      <c r="B75" s="188" t="s">
        <v>179</v>
      </c>
      <c r="C75" s="182" t="s">
        <v>169</v>
      </c>
      <c r="D75" s="182" t="s">
        <v>170</v>
      </c>
      <c r="E75" s="182" t="s">
        <v>171</v>
      </c>
      <c r="F75" s="182" t="s">
        <v>172</v>
      </c>
      <c r="G75" s="185" t="s">
        <v>97</v>
      </c>
      <c r="I75" s="188" t="s">
        <v>179</v>
      </c>
      <c r="J75" s="182"/>
      <c r="K75" s="182" t="s">
        <v>169</v>
      </c>
      <c r="L75" s="182" t="s">
        <v>170</v>
      </c>
      <c r="M75" s="182" t="s">
        <v>171</v>
      </c>
      <c r="N75" s="182" t="s">
        <v>172</v>
      </c>
      <c r="O75" s="185" t="s">
        <v>97</v>
      </c>
    </row>
    <row r="76" spans="2:15">
      <c r="B76" s="189" t="s">
        <v>173</v>
      </c>
      <c r="C76" s="190"/>
      <c r="D76" s="190"/>
      <c r="E76" s="190"/>
      <c r="F76" s="190"/>
      <c r="G76" s="195">
        <f t="shared" ref="G76:G81" si="23">SUM(C76:F76)</f>
        <v>0</v>
      </c>
      <c r="I76" s="189" t="s">
        <v>173</v>
      </c>
      <c r="J76" s="197"/>
      <c r="K76" s="190" t="e">
        <f>C76*#REF!*#REF!/100</f>
        <v>#REF!</v>
      </c>
      <c r="L76" s="190" t="e">
        <f>D76*#REF!*#REF!/100</f>
        <v>#REF!</v>
      </c>
      <c r="M76" s="190" t="e">
        <f>E76*#REF!*#REF!/100</f>
        <v>#REF!</v>
      </c>
      <c r="N76" s="190" t="e">
        <f>F76*#REF!*#REF!/100</f>
        <v>#REF!</v>
      </c>
      <c r="O76" s="195" t="e">
        <f t="shared" ref="O76:O81" si="24">SUM(K76:N76)</f>
        <v>#REF!</v>
      </c>
    </row>
    <row r="77" spans="2:15">
      <c r="B77" s="189" t="s">
        <v>174</v>
      </c>
      <c r="C77" s="190"/>
      <c r="D77" s="190"/>
      <c r="E77" s="190"/>
      <c r="F77" s="190"/>
      <c r="G77" s="195">
        <f t="shared" si="23"/>
        <v>0</v>
      </c>
      <c r="I77" s="189" t="s">
        <v>174</v>
      </c>
      <c r="J77" s="197"/>
      <c r="K77" s="190" t="e">
        <f>C77*#REF!*#REF!/100</f>
        <v>#REF!</v>
      </c>
      <c r="L77" s="190" t="e">
        <f>D77*#REF!*#REF!/100</f>
        <v>#REF!</v>
      </c>
      <c r="M77" s="190" t="e">
        <f>E77*#REF!*#REF!/100</f>
        <v>#REF!</v>
      </c>
      <c r="N77" s="190" t="e">
        <f>F77*#REF!*#REF!/100</f>
        <v>#REF!</v>
      </c>
      <c r="O77" s="195" t="e">
        <f t="shared" si="24"/>
        <v>#REF!</v>
      </c>
    </row>
    <row r="78" spans="2:15">
      <c r="B78" s="189" t="s">
        <v>175</v>
      </c>
      <c r="C78" s="190"/>
      <c r="D78" s="190"/>
      <c r="E78" s="190"/>
      <c r="F78" s="190"/>
      <c r="G78" s="195">
        <f t="shared" si="23"/>
        <v>0</v>
      </c>
      <c r="I78" s="189" t="s">
        <v>175</v>
      </c>
      <c r="J78" s="197"/>
      <c r="K78" s="190" t="e">
        <f>C78*#REF!*#REF!/100</f>
        <v>#REF!</v>
      </c>
      <c r="L78" s="190" t="e">
        <f>D78*#REF!*#REF!/100</f>
        <v>#REF!</v>
      </c>
      <c r="M78" s="190" t="e">
        <f>E78*#REF!*#REF!/100</f>
        <v>#REF!</v>
      </c>
      <c r="N78" s="190" t="e">
        <f>F78*#REF!*#REF!/100</f>
        <v>#REF!</v>
      </c>
      <c r="O78" s="195" t="e">
        <f t="shared" si="24"/>
        <v>#REF!</v>
      </c>
    </row>
    <row r="79" spans="2:15">
      <c r="B79" s="189" t="s">
        <v>176</v>
      </c>
      <c r="C79" s="190"/>
      <c r="D79" s="190"/>
      <c r="E79" s="190"/>
      <c r="F79" s="190"/>
      <c r="G79" s="195">
        <f t="shared" si="23"/>
        <v>0</v>
      </c>
      <c r="I79" s="189" t="s">
        <v>176</v>
      </c>
      <c r="J79" s="197"/>
      <c r="K79" s="190" t="e">
        <f>C79*#REF!*#REF!/100</f>
        <v>#REF!</v>
      </c>
      <c r="L79" s="190" t="e">
        <f>D79*#REF!*#REF!/100</f>
        <v>#REF!</v>
      </c>
      <c r="M79" s="190" t="e">
        <f>E79*#REF!*#REF!/100</f>
        <v>#REF!</v>
      </c>
      <c r="N79" s="190" t="e">
        <f>F79*#REF!*#REF!/100</f>
        <v>#REF!</v>
      </c>
      <c r="O79" s="195" t="e">
        <f t="shared" si="24"/>
        <v>#REF!</v>
      </c>
    </row>
    <row r="80" spans="2:15">
      <c r="B80" s="189" t="s">
        <v>177</v>
      </c>
      <c r="C80" s="190"/>
      <c r="D80" s="190">
        <v>1</v>
      </c>
      <c r="E80" s="190"/>
      <c r="F80" s="190"/>
      <c r="G80" s="195">
        <f t="shared" si="23"/>
        <v>1</v>
      </c>
      <c r="I80" s="189" t="s">
        <v>177</v>
      </c>
      <c r="J80" s="197"/>
      <c r="K80" s="190" t="e">
        <f>C80*#REF!*#REF!/100</f>
        <v>#REF!</v>
      </c>
      <c r="L80" s="190" t="e">
        <f>D80*#REF!*#REF!/100</f>
        <v>#REF!</v>
      </c>
      <c r="M80" s="190" t="e">
        <f>E80*#REF!*#REF!/100</f>
        <v>#REF!</v>
      </c>
      <c r="N80" s="190" t="e">
        <f>F80*#REF!*#REF!/100</f>
        <v>#REF!</v>
      </c>
      <c r="O80" s="195" t="e">
        <f t="shared" si="24"/>
        <v>#REF!</v>
      </c>
    </row>
    <row r="81" spans="2:15">
      <c r="B81" s="189" t="s">
        <v>178</v>
      </c>
      <c r="C81" s="190"/>
      <c r="D81" s="190"/>
      <c r="E81" s="190"/>
      <c r="F81" s="190"/>
      <c r="G81" s="195">
        <f t="shared" si="23"/>
        <v>0</v>
      </c>
      <c r="I81" s="189" t="s">
        <v>178</v>
      </c>
      <c r="J81" s="197"/>
      <c r="K81" s="190" t="e">
        <f>C81*#REF!*#REF!/100</f>
        <v>#REF!</v>
      </c>
      <c r="L81" s="190" t="e">
        <f>D81*#REF!*#REF!/100</f>
        <v>#REF!</v>
      </c>
      <c r="M81" s="190" t="e">
        <f>E81*#REF!*#REF!/100</f>
        <v>#REF!</v>
      </c>
      <c r="N81" s="190" t="e">
        <f>F81*#REF!*#REF!/100</f>
        <v>#REF!</v>
      </c>
      <c r="O81" s="195" t="e">
        <f t="shared" si="24"/>
        <v>#REF!</v>
      </c>
    </row>
    <row r="82" spans="2:15">
      <c r="B82" s="191"/>
      <c r="C82" s="579" t="s">
        <v>165</v>
      </c>
      <c r="D82" s="579"/>
      <c r="E82" s="579"/>
      <c r="F82" s="579"/>
      <c r="G82" s="186"/>
      <c r="I82" s="191"/>
      <c r="J82" s="192"/>
      <c r="K82" s="579" t="s">
        <v>165</v>
      </c>
      <c r="L82" s="579"/>
      <c r="M82" s="579"/>
      <c r="N82" s="579"/>
      <c r="O82" s="186"/>
    </row>
    <row r="83" spans="2:15">
      <c r="B83" s="188" t="s">
        <v>179</v>
      </c>
      <c r="C83" s="182" t="s">
        <v>169</v>
      </c>
      <c r="D83" s="182" t="s">
        <v>170</v>
      </c>
      <c r="E83" s="182" t="s">
        <v>171</v>
      </c>
      <c r="F83" s="182" t="s">
        <v>172</v>
      </c>
      <c r="G83" s="185" t="s">
        <v>97</v>
      </c>
      <c r="I83" s="188" t="s">
        <v>179</v>
      </c>
      <c r="J83" s="182"/>
      <c r="K83" s="182" t="s">
        <v>169</v>
      </c>
      <c r="L83" s="182" t="s">
        <v>170</v>
      </c>
      <c r="M83" s="182" t="s">
        <v>171</v>
      </c>
      <c r="N83" s="182" t="s">
        <v>172</v>
      </c>
      <c r="O83" s="185" t="s">
        <v>97</v>
      </c>
    </row>
    <row r="84" spans="2:15">
      <c r="B84" s="189" t="s">
        <v>173</v>
      </c>
      <c r="C84" s="190"/>
      <c r="D84" s="190"/>
      <c r="E84" s="190"/>
      <c r="F84" s="190"/>
      <c r="G84" s="195">
        <f t="shared" ref="G84:G89" si="25">SUM(C84:F84)</f>
        <v>0</v>
      </c>
      <c r="I84" s="189" t="s">
        <v>173</v>
      </c>
      <c r="J84" s="197"/>
      <c r="K84" s="190" t="e">
        <f>C84*#REF!*#REF!/100</f>
        <v>#REF!</v>
      </c>
      <c r="L84" s="190" t="e">
        <f>D84*#REF!*#REF!/100</f>
        <v>#REF!</v>
      </c>
      <c r="M84" s="190" t="e">
        <f>E84*#REF!*#REF!/100</f>
        <v>#REF!</v>
      </c>
      <c r="N84" s="190" t="e">
        <f>F84*#REF!*#REF!/100</f>
        <v>#REF!</v>
      </c>
      <c r="O84" s="195" t="e">
        <f t="shared" ref="O84:O89" si="26">SUM(K84:N84)</f>
        <v>#REF!</v>
      </c>
    </row>
    <row r="85" spans="2:15">
      <c r="B85" s="189" t="s">
        <v>174</v>
      </c>
      <c r="C85" s="190"/>
      <c r="D85" s="190"/>
      <c r="E85" s="190"/>
      <c r="F85" s="190"/>
      <c r="G85" s="195">
        <f t="shared" si="25"/>
        <v>0</v>
      </c>
      <c r="I85" s="189" t="s">
        <v>174</v>
      </c>
      <c r="J85" s="197"/>
      <c r="K85" s="190" t="e">
        <f>C85*#REF!*#REF!/100</f>
        <v>#REF!</v>
      </c>
      <c r="L85" s="190" t="e">
        <f>D85*#REF!*#REF!/100</f>
        <v>#REF!</v>
      </c>
      <c r="M85" s="190" t="e">
        <f>E85*#REF!*#REF!/100</f>
        <v>#REF!</v>
      </c>
      <c r="N85" s="190" t="e">
        <f>F85*#REF!*#REF!/100</f>
        <v>#REF!</v>
      </c>
      <c r="O85" s="195" t="e">
        <f t="shared" si="26"/>
        <v>#REF!</v>
      </c>
    </row>
    <row r="86" spans="2:15">
      <c r="B86" s="189" t="s">
        <v>175</v>
      </c>
      <c r="C86" s="190"/>
      <c r="D86" s="190"/>
      <c r="E86" s="190"/>
      <c r="F86" s="190"/>
      <c r="G86" s="195">
        <f t="shared" si="25"/>
        <v>0</v>
      </c>
      <c r="I86" s="189" t="s">
        <v>175</v>
      </c>
      <c r="J86" s="197"/>
      <c r="K86" s="190" t="e">
        <f>C86*#REF!*#REF!/100</f>
        <v>#REF!</v>
      </c>
      <c r="L86" s="190" t="e">
        <f>D86*#REF!*#REF!/100</f>
        <v>#REF!</v>
      </c>
      <c r="M86" s="190" t="e">
        <f>E86*#REF!*#REF!/100</f>
        <v>#REF!</v>
      </c>
      <c r="N86" s="190" t="e">
        <f>F86*#REF!*#REF!/100</f>
        <v>#REF!</v>
      </c>
      <c r="O86" s="195" t="e">
        <f t="shared" si="26"/>
        <v>#REF!</v>
      </c>
    </row>
    <row r="87" spans="2:15">
      <c r="B87" s="189" t="s">
        <v>176</v>
      </c>
      <c r="C87" s="190"/>
      <c r="D87" s="190"/>
      <c r="E87" s="190"/>
      <c r="F87" s="190"/>
      <c r="G87" s="195">
        <f t="shared" si="25"/>
        <v>0</v>
      </c>
      <c r="I87" s="189" t="s">
        <v>176</v>
      </c>
      <c r="J87" s="197"/>
      <c r="K87" s="190" t="e">
        <f>C87*#REF!*#REF!/100</f>
        <v>#REF!</v>
      </c>
      <c r="L87" s="190" t="e">
        <f>D87*#REF!*#REF!/100</f>
        <v>#REF!</v>
      </c>
      <c r="M87" s="190" t="e">
        <f>E87*#REF!*#REF!/100</f>
        <v>#REF!</v>
      </c>
      <c r="N87" s="190" t="e">
        <f>F87*#REF!*#REF!/100</f>
        <v>#REF!</v>
      </c>
      <c r="O87" s="195" t="e">
        <f t="shared" si="26"/>
        <v>#REF!</v>
      </c>
    </row>
    <row r="88" spans="2:15">
      <c r="B88" s="189" t="s">
        <v>177</v>
      </c>
      <c r="C88" s="190"/>
      <c r="D88" s="190">
        <v>3</v>
      </c>
      <c r="E88" s="190"/>
      <c r="F88" s="190"/>
      <c r="G88" s="195">
        <f t="shared" si="25"/>
        <v>3</v>
      </c>
      <c r="I88" s="189" t="s">
        <v>177</v>
      </c>
      <c r="J88" s="197"/>
      <c r="K88" s="190" t="e">
        <f>C88*#REF!*#REF!/100</f>
        <v>#REF!</v>
      </c>
      <c r="L88" s="190" t="e">
        <f>D88*#REF!*#REF!/100</f>
        <v>#REF!</v>
      </c>
      <c r="M88" s="190" t="e">
        <f>E88*#REF!*#REF!/100</f>
        <v>#REF!</v>
      </c>
      <c r="N88" s="190" t="e">
        <f>F88*#REF!*#REF!/100</f>
        <v>#REF!</v>
      </c>
      <c r="O88" s="195" t="e">
        <f t="shared" si="26"/>
        <v>#REF!</v>
      </c>
    </row>
    <row r="89" spans="2:15">
      <c r="B89" s="189" t="s">
        <v>178</v>
      </c>
      <c r="C89" s="190"/>
      <c r="D89" s="190"/>
      <c r="E89" s="190"/>
      <c r="F89" s="190"/>
      <c r="G89" s="195">
        <f t="shared" si="25"/>
        <v>0</v>
      </c>
      <c r="I89" s="189" t="s">
        <v>178</v>
      </c>
      <c r="J89" s="197"/>
      <c r="K89" s="190" t="e">
        <f>C89*#REF!*#REF!/100</f>
        <v>#REF!</v>
      </c>
      <c r="L89" s="190" t="e">
        <f>D89*#REF!*#REF!/100</f>
        <v>#REF!</v>
      </c>
      <c r="M89" s="190" t="e">
        <f>E89*#REF!*#REF!/100</f>
        <v>#REF!</v>
      </c>
      <c r="N89" s="190" t="e">
        <f>F89*#REF!*#REF!/100</f>
        <v>#REF!</v>
      </c>
      <c r="O89" s="195" t="e">
        <f t="shared" si="26"/>
        <v>#REF!</v>
      </c>
    </row>
    <row r="90" spans="2:15">
      <c r="B90" s="191"/>
      <c r="C90" s="579" t="s">
        <v>164</v>
      </c>
      <c r="D90" s="579"/>
      <c r="E90" s="579"/>
      <c r="F90" s="579"/>
      <c r="G90" s="186"/>
      <c r="I90" s="191"/>
      <c r="J90" s="192"/>
      <c r="K90" s="579" t="s">
        <v>164</v>
      </c>
      <c r="L90" s="579"/>
      <c r="M90" s="579"/>
      <c r="N90" s="579"/>
      <c r="O90" s="186"/>
    </row>
    <row r="91" spans="2:15">
      <c r="B91" s="188" t="s">
        <v>179</v>
      </c>
      <c r="C91" s="182" t="s">
        <v>169</v>
      </c>
      <c r="D91" s="182" t="s">
        <v>170</v>
      </c>
      <c r="E91" s="182" t="s">
        <v>171</v>
      </c>
      <c r="F91" s="182" t="s">
        <v>172</v>
      </c>
      <c r="G91" s="185" t="s">
        <v>97</v>
      </c>
      <c r="I91" s="188" t="s">
        <v>179</v>
      </c>
      <c r="J91" s="182"/>
      <c r="K91" s="182" t="s">
        <v>169</v>
      </c>
      <c r="L91" s="182" t="s">
        <v>170</v>
      </c>
      <c r="M91" s="182" t="s">
        <v>171</v>
      </c>
      <c r="N91" s="182" t="s">
        <v>172</v>
      </c>
      <c r="O91" s="185" t="s">
        <v>97</v>
      </c>
    </row>
    <row r="92" spans="2:15">
      <c r="B92" s="189" t="s">
        <v>173</v>
      </c>
      <c r="C92" s="190"/>
      <c r="D92" s="190"/>
      <c r="E92" s="190"/>
      <c r="F92" s="190"/>
      <c r="G92" s="195">
        <f t="shared" ref="G92:G97" si="27">SUM(C92:F92)</f>
        <v>0</v>
      </c>
      <c r="I92" s="189" t="s">
        <v>173</v>
      </c>
      <c r="J92" s="197"/>
      <c r="K92" s="190" t="e">
        <f>C92*#REF!*#REF!/100</f>
        <v>#REF!</v>
      </c>
      <c r="L92" s="190" t="e">
        <f>D92*#REF!*#REF!/100</f>
        <v>#REF!</v>
      </c>
      <c r="M92" s="190" t="e">
        <f>E92*#REF!*#REF!/100</f>
        <v>#REF!</v>
      </c>
      <c r="N92" s="190" t="e">
        <f>F92*#REF!*#REF!/100</f>
        <v>#REF!</v>
      </c>
      <c r="O92" s="195" t="e">
        <f t="shared" ref="O92:O97" si="28">SUM(K92:N92)</f>
        <v>#REF!</v>
      </c>
    </row>
    <row r="93" spans="2:15">
      <c r="B93" s="189" t="s">
        <v>174</v>
      </c>
      <c r="C93" s="190"/>
      <c r="D93" s="190"/>
      <c r="E93" s="190"/>
      <c r="F93" s="190"/>
      <c r="G93" s="195">
        <f t="shared" si="27"/>
        <v>0</v>
      </c>
      <c r="I93" s="189" t="s">
        <v>174</v>
      </c>
      <c r="J93" s="197"/>
      <c r="K93" s="190" t="e">
        <f>C93*#REF!*#REF!/100</f>
        <v>#REF!</v>
      </c>
      <c r="L93" s="190" t="e">
        <f>D93*#REF!*#REF!/100</f>
        <v>#REF!</v>
      </c>
      <c r="M93" s="190" t="e">
        <f>E93*#REF!*#REF!/100</f>
        <v>#REF!</v>
      </c>
      <c r="N93" s="190" t="e">
        <f>F93*#REF!*#REF!/100</f>
        <v>#REF!</v>
      </c>
      <c r="O93" s="195" t="e">
        <f t="shared" si="28"/>
        <v>#REF!</v>
      </c>
    </row>
    <row r="94" spans="2:15">
      <c r="B94" s="189" t="s">
        <v>175</v>
      </c>
      <c r="C94" s="190">
        <v>1</v>
      </c>
      <c r="D94" s="190"/>
      <c r="E94" s="190"/>
      <c r="F94" s="190"/>
      <c r="G94" s="195">
        <f t="shared" si="27"/>
        <v>1</v>
      </c>
      <c r="I94" s="189" t="s">
        <v>175</v>
      </c>
      <c r="J94" s="197"/>
      <c r="K94" s="190" t="e">
        <f>C94*#REF!*#REF!/100</f>
        <v>#REF!</v>
      </c>
      <c r="L94" s="190" t="e">
        <f>D94*#REF!*#REF!/100</f>
        <v>#REF!</v>
      </c>
      <c r="M94" s="190" t="e">
        <f>E94*#REF!*#REF!/100</f>
        <v>#REF!</v>
      </c>
      <c r="N94" s="190" t="e">
        <f>F94*#REF!*#REF!/100</f>
        <v>#REF!</v>
      </c>
      <c r="O94" s="195" t="e">
        <f t="shared" si="28"/>
        <v>#REF!</v>
      </c>
    </row>
    <row r="95" spans="2:15">
      <c r="B95" s="189" t="s">
        <v>176</v>
      </c>
      <c r="C95" s="190">
        <v>1</v>
      </c>
      <c r="D95" s="190"/>
      <c r="E95" s="190"/>
      <c r="F95" s="190"/>
      <c r="G95" s="195">
        <f t="shared" si="27"/>
        <v>1</v>
      </c>
      <c r="I95" s="189" t="s">
        <v>176</v>
      </c>
      <c r="J95" s="197"/>
      <c r="K95" s="190" t="e">
        <f>C95*#REF!*#REF!/100</f>
        <v>#REF!</v>
      </c>
      <c r="L95" s="190" t="e">
        <f>D95*#REF!*#REF!/100</f>
        <v>#REF!</v>
      </c>
      <c r="M95" s="190" t="e">
        <f>E95*#REF!*#REF!/100</f>
        <v>#REF!</v>
      </c>
      <c r="N95" s="190" t="e">
        <f>F95*#REF!*#REF!/100</f>
        <v>#REF!</v>
      </c>
      <c r="O95" s="195" t="e">
        <f t="shared" si="28"/>
        <v>#REF!</v>
      </c>
    </row>
    <row r="96" spans="2:15">
      <c r="B96" s="189" t="s">
        <v>177</v>
      </c>
      <c r="C96" s="190"/>
      <c r="D96" s="190"/>
      <c r="E96" s="190"/>
      <c r="F96" s="190"/>
      <c r="G96" s="195">
        <f t="shared" si="27"/>
        <v>0</v>
      </c>
      <c r="I96" s="189" t="s">
        <v>177</v>
      </c>
      <c r="J96" s="197"/>
      <c r="K96" s="190" t="e">
        <f>C96*#REF!*#REF!/100</f>
        <v>#REF!</v>
      </c>
      <c r="L96" s="190" t="e">
        <f>D96*#REF!*#REF!/100</f>
        <v>#REF!</v>
      </c>
      <c r="M96" s="190" t="e">
        <f>E96*#REF!*#REF!/100</f>
        <v>#REF!</v>
      </c>
      <c r="N96" s="190" t="e">
        <f>F96*#REF!*#REF!/100</f>
        <v>#REF!</v>
      </c>
      <c r="O96" s="195" t="e">
        <f t="shared" si="28"/>
        <v>#REF!</v>
      </c>
    </row>
    <row r="97" spans="2:18" ht="15.75" thickBot="1">
      <c r="B97" s="193" t="s">
        <v>178</v>
      </c>
      <c r="C97" s="194"/>
      <c r="D97" s="194"/>
      <c r="E97" s="194"/>
      <c r="F97" s="194"/>
      <c r="G97" s="196">
        <f t="shared" si="27"/>
        <v>0</v>
      </c>
      <c r="I97" s="193" t="s">
        <v>178</v>
      </c>
      <c r="J97" s="199"/>
      <c r="K97" s="194" t="e">
        <f>C97*#REF!*#REF!/100</f>
        <v>#REF!</v>
      </c>
      <c r="L97" s="194" t="e">
        <f>D97*#REF!*#REF!/100</f>
        <v>#REF!</v>
      </c>
      <c r="M97" s="194" t="e">
        <f>E97*#REF!*#REF!/100</f>
        <v>#REF!</v>
      </c>
      <c r="N97" s="194" t="e">
        <f>F97*#REF!*#REF!/100</f>
        <v>#REF!</v>
      </c>
      <c r="O97" s="196" t="e">
        <f t="shared" si="28"/>
        <v>#REF!</v>
      </c>
    </row>
    <row r="99" spans="2:18" ht="60">
      <c r="B99" s="3" t="s">
        <v>186</v>
      </c>
      <c r="E99" s="208" t="s">
        <v>196</v>
      </c>
      <c r="F99" s="3" t="s">
        <v>205</v>
      </c>
      <c r="G99" s="63" t="s">
        <v>197</v>
      </c>
      <c r="H99" s="208" t="s">
        <v>198</v>
      </c>
      <c r="I99" s="208" t="s">
        <v>203</v>
      </c>
      <c r="J99" s="63" t="s">
        <v>199</v>
      </c>
      <c r="K99" s="63"/>
      <c r="L99" s="63" t="s">
        <v>200</v>
      </c>
      <c r="M99" s="63" t="s">
        <v>201</v>
      </c>
      <c r="N99" s="63" t="s">
        <v>202</v>
      </c>
    </row>
    <row r="100" spans="2:18">
      <c r="B100" s="3">
        <v>2287</v>
      </c>
      <c r="C100" s="3" t="s">
        <v>187</v>
      </c>
      <c r="E100" s="63">
        <v>6824</v>
      </c>
      <c r="F100" s="211">
        <v>0.28000000000000003</v>
      </c>
      <c r="G100" s="63">
        <v>61</v>
      </c>
      <c r="H100" s="63">
        <v>5527</v>
      </c>
      <c r="I100" s="63">
        <v>676</v>
      </c>
      <c r="J100" s="63">
        <v>314</v>
      </c>
      <c r="K100" s="63">
        <v>164</v>
      </c>
      <c r="L100" s="63">
        <v>75</v>
      </c>
      <c r="M100" s="63">
        <v>7</v>
      </c>
      <c r="N100" s="63"/>
    </row>
    <row r="101" spans="2:18">
      <c r="B101" s="3">
        <v>2257</v>
      </c>
      <c r="C101" s="3" t="s">
        <v>188</v>
      </c>
      <c r="E101" s="63">
        <v>8465</v>
      </c>
      <c r="F101" s="211">
        <v>0.28000000000000003</v>
      </c>
      <c r="G101" s="63">
        <v>51</v>
      </c>
      <c r="H101" s="63">
        <v>7018</v>
      </c>
      <c r="I101" s="63">
        <v>779</v>
      </c>
      <c r="J101" s="63">
        <v>271</v>
      </c>
      <c r="K101" s="63">
        <v>245</v>
      </c>
      <c r="L101" s="63">
        <v>93</v>
      </c>
      <c r="M101" s="63">
        <v>8</v>
      </c>
      <c r="N101" s="63"/>
    </row>
    <row r="102" spans="2:18">
      <c r="B102" s="3">
        <v>2146</v>
      </c>
      <c r="C102" s="3" t="s">
        <v>189</v>
      </c>
      <c r="E102" s="63">
        <v>1556</v>
      </c>
      <c r="F102" s="211">
        <v>0.28000000000000003</v>
      </c>
      <c r="G102" s="63">
        <v>37</v>
      </c>
      <c r="H102" s="63">
        <v>1340</v>
      </c>
      <c r="I102" s="63">
        <v>120</v>
      </c>
      <c r="J102" s="63">
        <v>34</v>
      </c>
      <c r="K102" s="63">
        <v>17</v>
      </c>
      <c r="L102" s="63">
        <v>5</v>
      </c>
      <c r="M102" s="63">
        <v>3</v>
      </c>
      <c r="N102" s="63"/>
    </row>
    <row r="103" spans="2:18">
      <c r="B103" s="3">
        <v>2110</v>
      </c>
      <c r="C103" s="3" t="s">
        <v>190</v>
      </c>
      <c r="E103" s="63">
        <v>9568</v>
      </c>
      <c r="F103" s="211">
        <v>0.28000000000000003</v>
      </c>
      <c r="G103" s="63">
        <v>96</v>
      </c>
      <c r="H103" s="63">
        <v>7520</v>
      </c>
      <c r="I103" s="63">
        <v>823</v>
      </c>
      <c r="J103" s="63">
        <v>411</v>
      </c>
      <c r="K103" s="63">
        <v>641</v>
      </c>
      <c r="L103" s="63">
        <v>67</v>
      </c>
      <c r="M103" s="63">
        <v>10</v>
      </c>
      <c r="N103" s="63"/>
    </row>
    <row r="104" spans="2:18">
      <c r="B104" s="3">
        <v>2093</v>
      </c>
      <c r="C104" s="3" t="s">
        <v>191</v>
      </c>
      <c r="E104" s="63">
        <v>12307</v>
      </c>
      <c r="F104" s="211">
        <v>0.28000000000000003</v>
      </c>
      <c r="G104" s="63">
        <v>86</v>
      </c>
      <c r="H104" s="63">
        <v>10794</v>
      </c>
      <c r="I104" s="63">
        <v>886</v>
      </c>
      <c r="J104" s="63">
        <v>283</v>
      </c>
      <c r="K104" s="63">
        <v>197</v>
      </c>
      <c r="L104" s="63">
        <v>49</v>
      </c>
      <c r="M104" s="63">
        <v>12</v>
      </c>
      <c r="N104" s="63"/>
    </row>
    <row r="105" spans="2:18">
      <c r="B105" s="3">
        <v>2072</v>
      </c>
      <c r="C105" s="3" t="s">
        <v>192</v>
      </c>
      <c r="E105" s="63">
        <v>2262</v>
      </c>
      <c r="F105" s="211">
        <v>0.28000000000000003</v>
      </c>
      <c r="G105" s="63">
        <v>50</v>
      </c>
      <c r="H105" s="63">
        <v>1942</v>
      </c>
      <c r="I105" s="63">
        <v>111</v>
      </c>
      <c r="J105" s="63">
        <v>29</v>
      </c>
      <c r="K105" s="63">
        <v>81</v>
      </c>
      <c r="L105" s="63">
        <v>38</v>
      </c>
      <c r="M105" s="63">
        <v>11</v>
      </c>
      <c r="N105" s="63"/>
      <c r="O105" s="44"/>
      <c r="P105" s="44"/>
      <c r="Q105" s="44"/>
      <c r="R105" s="44"/>
    </row>
    <row r="106" spans="2:18">
      <c r="B106" s="3">
        <v>30904</v>
      </c>
      <c r="C106" s="3" t="s">
        <v>193</v>
      </c>
      <c r="E106" s="63">
        <v>14901</v>
      </c>
      <c r="F106" s="211">
        <v>0.28000000000000003</v>
      </c>
      <c r="G106" s="63">
        <v>36</v>
      </c>
      <c r="H106" s="63">
        <v>10271</v>
      </c>
      <c r="I106" s="63">
        <v>1726</v>
      </c>
      <c r="J106" s="63">
        <v>711</v>
      </c>
      <c r="K106" s="63">
        <v>1951</v>
      </c>
      <c r="L106" s="63">
        <v>183</v>
      </c>
      <c r="M106" s="63">
        <v>23</v>
      </c>
      <c r="N106" s="63">
        <v>17</v>
      </c>
      <c r="O106" s="44"/>
      <c r="P106" s="201"/>
      <c r="Q106" s="44"/>
      <c r="R106" s="44"/>
    </row>
    <row r="107" spans="2:18">
      <c r="B107" s="3">
        <v>30208</v>
      </c>
      <c r="C107" s="3" t="s">
        <v>194</v>
      </c>
      <c r="E107" s="63">
        <v>62187</v>
      </c>
      <c r="F107" s="211">
        <v>0.28000000000000003</v>
      </c>
      <c r="G107" s="63">
        <v>199</v>
      </c>
      <c r="H107" s="63">
        <v>49826</v>
      </c>
      <c r="I107" s="63">
        <v>5098</v>
      </c>
      <c r="J107" s="63">
        <v>1385</v>
      </c>
      <c r="K107" s="63">
        <v>4759</v>
      </c>
      <c r="L107" s="63">
        <v>916</v>
      </c>
      <c r="M107" s="63">
        <v>4</v>
      </c>
      <c r="N107" s="63">
        <v>18</v>
      </c>
      <c r="O107" s="44"/>
      <c r="P107" s="202"/>
      <c r="Q107" s="44"/>
      <c r="R107" s="44"/>
    </row>
    <row r="108" spans="2:18">
      <c r="B108" s="3">
        <v>30716</v>
      </c>
      <c r="C108" s="3" t="s">
        <v>195</v>
      </c>
      <c r="E108" s="63">
        <v>32034</v>
      </c>
      <c r="F108" s="211">
        <v>0.28000000000000003</v>
      </c>
      <c r="G108" s="63">
        <v>99</v>
      </c>
      <c r="H108" s="63">
        <v>23621</v>
      </c>
      <c r="I108" s="63">
        <v>3733</v>
      </c>
      <c r="J108" s="63">
        <v>1543</v>
      </c>
      <c r="K108" s="63">
        <v>2665</v>
      </c>
      <c r="L108" s="63">
        <v>367</v>
      </c>
      <c r="M108" s="63">
        <v>6</v>
      </c>
      <c r="N108" s="63">
        <v>63</v>
      </c>
      <c r="O108" s="44"/>
      <c r="P108" s="44"/>
      <c r="Q108" s="44"/>
      <c r="R108" s="44"/>
    </row>
    <row r="109" spans="2:18">
      <c r="C109" s="3" t="s">
        <v>204</v>
      </c>
      <c r="E109" s="3">
        <f>AVERAGE(E100:E108)</f>
        <v>16678.222222222223</v>
      </c>
      <c r="F109" s="210">
        <f>AVERAGE(F100:F108)</f>
        <v>0.28000000000000003</v>
      </c>
      <c r="O109" s="44"/>
      <c r="P109" s="44"/>
      <c r="Q109" s="44"/>
      <c r="R109" s="44"/>
    </row>
    <row r="111" spans="2:18">
      <c r="E111" s="63">
        <v>6824</v>
      </c>
      <c r="G111" s="209">
        <f t="shared" ref="G111:N119" si="29">G100/$E100</f>
        <v>8.9390386869871042E-3</v>
      </c>
      <c r="H111" s="209">
        <f t="shared" si="29"/>
        <v>0.80993552168815941</v>
      </c>
      <c r="I111" s="209">
        <f t="shared" si="29"/>
        <v>9.9062133645955452E-2</v>
      </c>
      <c r="J111" s="209">
        <f t="shared" si="29"/>
        <v>4.6014067995310666E-2</v>
      </c>
      <c r="K111" s="209">
        <f t="shared" si="29"/>
        <v>2.4032825322391559E-2</v>
      </c>
      <c r="L111" s="209">
        <f t="shared" si="29"/>
        <v>1.0990621336459554E-2</v>
      </c>
      <c r="M111" s="209">
        <f t="shared" si="29"/>
        <v>1.0257913247362252E-3</v>
      </c>
      <c r="N111" s="209">
        <f t="shared" si="29"/>
        <v>0</v>
      </c>
    </row>
    <row r="112" spans="2:18">
      <c r="E112" s="63">
        <v>8465</v>
      </c>
      <c r="G112" s="209">
        <f t="shared" si="29"/>
        <v>6.0248080330773772E-3</v>
      </c>
      <c r="H112" s="209">
        <f t="shared" si="29"/>
        <v>0.82906083874778502</v>
      </c>
      <c r="I112" s="209">
        <f t="shared" si="29"/>
        <v>9.2025989367985825E-2</v>
      </c>
      <c r="J112" s="209">
        <f t="shared" si="29"/>
        <v>3.2014176018901358E-2</v>
      </c>
      <c r="K112" s="209">
        <f t="shared" si="29"/>
        <v>2.8942705256940343E-2</v>
      </c>
      <c r="L112" s="209">
        <f t="shared" si="29"/>
        <v>1.0986414648552864E-2</v>
      </c>
      <c r="M112" s="209">
        <f t="shared" si="29"/>
        <v>9.4506792675723569E-4</v>
      </c>
      <c r="N112" s="209">
        <f t="shared" si="29"/>
        <v>0</v>
      </c>
    </row>
    <row r="113" spans="2:14">
      <c r="E113" s="63">
        <v>1556</v>
      </c>
      <c r="G113" s="209">
        <f t="shared" si="29"/>
        <v>2.377892030848329E-2</v>
      </c>
      <c r="H113" s="209">
        <f t="shared" si="29"/>
        <v>0.86118251928020562</v>
      </c>
      <c r="I113" s="209">
        <f t="shared" si="29"/>
        <v>7.7120822622107968E-2</v>
      </c>
      <c r="J113" s="209">
        <f t="shared" si="29"/>
        <v>2.1850899742930592E-2</v>
      </c>
      <c r="K113" s="209">
        <f t="shared" si="29"/>
        <v>1.0925449871465296E-2</v>
      </c>
      <c r="L113" s="209">
        <f t="shared" si="29"/>
        <v>3.2133676092544988E-3</v>
      </c>
      <c r="M113" s="209">
        <f t="shared" si="29"/>
        <v>1.9280205655526992E-3</v>
      </c>
      <c r="N113" s="209">
        <f t="shared" si="29"/>
        <v>0</v>
      </c>
    </row>
    <row r="114" spans="2:14">
      <c r="E114" s="63">
        <v>9568</v>
      </c>
      <c r="G114" s="209">
        <f t="shared" si="29"/>
        <v>1.0033444816053512E-2</v>
      </c>
      <c r="H114" s="209">
        <f t="shared" si="29"/>
        <v>0.78595317725752512</v>
      </c>
      <c r="I114" s="209">
        <f t="shared" si="29"/>
        <v>8.6015886287625423E-2</v>
      </c>
      <c r="J114" s="209">
        <f t="shared" si="29"/>
        <v>4.2955685618729096E-2</v>
      </c>
      <c r="K114" s="209">
        <f t="shared" si="29"/>
        <v>6.6994147157190639E-2</v>
      </c>
      <c r="L114" s="209">
        <f t="shared" si="29"/>
        <v>7.0025083612040131E-3</v>
      </c>
      <c r="M114" s="209">
        <f t="shared" si="29"/>
        <v>1.0451505016722408E-3</v>
      </c>
      <c r="N114" s="209">
        <f t="shared" si="29"/>
        <v>0</v>
      </c>
    </row>
    <row r="115" spans="2:14">
      <c r="E115" s="63">
        <v>12307</v>
      </c>
      <c r="G115" s="209">
        <f t="shared" si="29"/>
        <v>6.9878930689851303E-3</v>
      </c>
      <c r="H115" s="209">
        <f t="shared" si="29"/>
        <v>0.87706183472820343</v>
      </c>
      <c r="I115" s="209">
        <f t="shared" si="29"/>
        <v>7.1991549524660761E-2</v>
      </c>
      <c r="J115" s="209">
        <f t="shared" si="29"/>
        <v>2.2995043471195256E-2</v>
      </c>
      <c r="K115" s="209">
        <f t="shared" si="29"/>
        <v>1.6007150402210124E-2</v>
      </c>
      <c r="L115" s="209">
        <f t="shared" si="29"/>
        <v>3.9814739579101324E-3</v>
      </c>
      <c r="M115" s="209">
        <f t="shared" si="29"/>
        <v>9.7505484683513451E-4</v>
      </c>
      <c r="N115" s="209">
        <f t="shared" si="29"/>
        <v>0</v>
      </c>
    </row>
    <row r="116" spans="2:14">
      <c r="E116" s="63">
        <v>2262</v>
      </c>
      <c r="G116" s="209">
        <f t="shared" si="29"/>
        <v>2.2104332449160036E-2</v>
      </c>
      <c r="H116" s="209">
        <f t="shared" si="29"/>
        <v>0.85853227232537577</v>
      </c>
      <c r="I116" s="209">
        <f t="shared" si="29"/>
        <v>4.9071618037135278E-2</v>
      </c>
      <c r="J116" s="209">
        <f t="shared" si="29"/>
        <v>1.282051282051282E-2</v>
      </c>
      <c r="K116" s="209">
        <f t="shared" si="29"/>
        <v>3.580901856763926E-2</v>
      </c>
      <c r="L116" s="209">
        <f t="shared" si="29"/>
        <v>1.6799292661361626E-2</v>
      </c>
      <c r="M116" s="209">
        <f t="shared" si="29"/>
        <v>4.8629531388152082E-3</v>
      </c>
      <c r="N116" s="209">
        <f t="shared" si="29"/>
        <v>0</v>
      </c>
    </row>
    <row r="117" spans="2:14">
      <c r="E117" s="63">
        <v>14901</v>
      </c>
      <c r="G117" s="209">
        <f t="shared" si="29"/>
        <v>2.4159452385745924E-3</v>
      </c>
      <c r="H117" s="209">
        <f t="shared" si="29"/>
        <v>0.68928259848332329</v>
      </c>
      <c r="I117" s="209">
        <f t="shared" si="29"/>
        <v>0.11583115227165962</v>
      </c>
      <c r="J117" s="209">
        <f t="shared" si="29"/>
        <v>4.7714918461848201E-2</v>
      </c>
      <c r="K117" s="209">
        <f t="shared" si="29"/>
        <v>0.13093081001275081</v>
      </c>
      <c r="L117" s="209">
        <f t="shared" si="29"/>
        <v>1.2281054962754178E-2</v>
      </c>
      <c r="M117" s="209">
        <f t="shared" si="29"/>
        <v>1.5435205690893228E-3</v>
      </c>
      <c r="N117" s="209">
        <f t="shared" si="29"/>
        <v>1.1408630293268907E-3</v>
      </c>
    </row>
    <row r="118" spans="2:14">
      <c r="E118" s="63">
        <v>62187</v>
      </c>
      <c r="G118" s="209">
        <f t="shared" si="29"/>
        <v>3.2000257288500814E-3</v>
      </c>
      <c r="H118" s="209">
        <f t="shared" si="29"/>
        <v>0.8012285525913776</v>
      </c>
      <c r="I118" s="209">
        <f t="shared" si="29"/>
        <v>8.19785485712448E-2</v>
      </c>
      <c r="J118" s="209">
        <f t="shared" si="29"/>
        <v>2.2271535851544535E-2</v>
      </c>
      <c r="K118" s="209">
        <f t="shared" si="29"/>
        <v>7.6527248460289132E-2</v>
      </c>
      <c r="L118" s="209">
        <f t="shared" si="29"/>
        <v>1.4729766671490827E-2</v>
      </c>
      <c r="M118" s="209">
        <f t="shared" si="29"/>
        <v>6.4322125203016708E-5</v>
      </c>
      <c r="N118" s="209">
        <f t="shared" si="29"/>
        <v>2.8944956341357518E-4</v>
      </c>
    </row>
    <row r="119" spans="2:14">
      <c r="E119" s="63">
        <v>32034</v>
      </c>
      <c r="G119" s="209">
        <f t="shared" si="29"/>
        <v>3.0904663794718112E-3</v>
      </c>
      <c r="H119" s="209">
        <f t="shared" si="29"/>
        <v>0.73737279140912781</v>
      </c>
      <c r="I119" s="209">
        <f t="shared" si="29"/>
        <v>0.1165324342885684</v>
      </c>
      <c r="J119" s="209">
        <f t="shared" si="29"/>
        <v>4.8167571954798025E-2</v>
      </c>
      <c r="K119" s="209">
        <f t="shared" si="29"/>
        <v>8.3192857588811883E-2</v>
      </c>
      <c r="L119" s="209">
        <f t="shared" si="29"/>
        <v>1.1456577386526815E-2</v>
      </c>
      <c r="M119" s="209">
        <f t="shared" si="29"/>
        <v>1.8730099269526128E-4</v>
      </c>
      <c r="N119" s="209">
        <f t="shared" si="29"/>
        <v>1.9666604233002437E-3</v>
      </c>
    </row>
    <row r="120" spans="2:14">
      <c r="E120" s="3">
        <f>AVERAGE(E111:E119)</f>
        <v>16678.222222222223</v>
      </c>
      <c r="G120" s="210">
        <f t="shared" ref="G120:N120" si="30">AVERAGE(G111:G119)</f>
        <v>9.6194305232936619E-3</v>
      </c>
      <c r="H120" s="210">
        <f t="shared" si="30"/>
        <v>0.80551223405678696</v>
      </c>
      <c r="I120" s="210">
        <f t="shared" si="30"/>
        <v>8.773668162410482E-2</v>
      </c>
      <c r="J120" s="210">
        <f t="shared" si="30"/>
        <v>3.2978267992863394E-2</v>
      </c>
      <c r="K120" s="210">
        <f t="shared" si="30"/>
        <v>5.2595801404409892E-2</v>
      </c>
      <c r="L120" s="210">
        <f t="shared" si="30"/>
        <v>1.0160119732834946E-2</v>
      </c>
      <c r="M120" s="210">
        <f t="shared" si="30"/>
        <v>1.3974646657062603E-3</v>
      </c>
      <c r="N120" s="210">
        <f t="shared" si="30"/>
        <v>3.774414462267455E-4</v>
      </c>
    </row>
    <row r="122" spans="2:14">
      <c r="F122" s="3">
        <v>25</v>
      </c>
      <c r="G122" s="3" t="s">
        <v>95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.75" thickBot="1">
      <c r="B124" s="589" t="s">
        <v>185</v>
      </c>
      <c r="C124" s="590"/>
      <c r="D124" s="590"/>
      <c r="E124" s="590"/>
      <c r="F124" s="590"/>
      <c r="G124" s="590"/>
      <c r="H124" s="590"/>
    </row>
    <row r="125" spans="2:14" ht="30">
      <c r="B125" s="203" t="s">
        <v>157</v>
      </c>
      <c r="C125" s="204" t="s">
        <v>119</v>
      </c>
      <c r="D125" s="204" t="s">
        <v>120</v>
      </c>
      <c r="E125" s="204" t="s">
        <v>182</v>
      </c>
      <c r="F125" s="204" t="s">
        <v>183</v>
      </c>
      <c r="G125" s="204" t="s">
        <v>184</v>
      </c>
      <c r="H125" s="205" t="s">
        <v>121</v>
      </c>
    </row>
    <row r="126" spans="2:14" ht="15.75" thickBot="1">
      <c r="B126" s="116">
        <v>356</v>
      </c>
      <c r="C126" s="206">
        <f>B126*365</f>
        <v>129940</v>
      </c>
      <c r="D126" s="88" t="e">
        <f>C126*#REF!</f>
        <v>#REF!</v>
      </c>
      <c r="E126" s="88" t="e">
        <f>D126*#REF!</f>
        <v>#REF!</v>
      </c>
      <c r="F126" s="88" t="e">
        <f>D126-E126</f>
        <v>#REF!</v>
      </c>
      <c r="G126" s="88" t="e">
        <f>E126*#REF!/1000</f>
        <v>#REF!</v>
      </c>
      <c r="H126" s="207" t="e">
        <f>F126*#REF!</f>
        <v>#REF!</v>
      </c>
    </row>
    <row r="129" spans="5:14">
      <c r="E129" s="3">
        <v>16678</v>
      </c>
      <c r="F129" s="211">
        <v>0.5</v>
      </c>
      <c r="H129" s="3">
        <f>(E129*H123+E129*I123)*365*F129/1000</f>
        <v>9892.1387500000001</v>
      </c>
    </row>
    <row r="130" spans="5:14">
      <c r="H130" s="213">
        <f t="shared" ref="H130:H135" si="31">$H$129*N130</f>
        <v>4222.0078520909656</v>
      </c>
      <c r="K130" s="212">
        <f t="shared" ref="K130:K135" si="32">H130/M130</f>
        <v>2.7331827677995527E-2</v>
      </c>
      <c r="L130" s="3" t="s">
        <v>85</v>
      </c>
      <c r="M130" s="3">
        <v>154472.21100000001</v>
      </c>
      <c r="N130" s="212">
        <f t="shared" ref="N130:N135" si="33">M130/SUM($M$130:$M$135)</f>
        <v>0.42680435028177965</v>
      </c>
    </row>
    <row r="131" spans="5:14">
      <c r="H131" s="213">
        <f t="shared" si="31"/>
        <v>4849.4644287719148</v>
      </c>
      <c r="K131" s="212">
        <f t="shared" si="32"/>
        <v>2.7331827677995527E-2</v>
      </c>
      <c r="L131" s="3" t="s">
        <v>84</v>
      </c>
      <c r="M131" s="3">
        <v>177429.204</v>
      </c>
      <c r="N131" s="212">
        <f t="shared" si="33"/>
        <v>0.49023416991314595</v>
      </c>
    </row>
    <row r="132" spans="5:14">
      <c r="H132" s="213">
        <f t="shared" si="31"/>
        <v>813.02364283169231</v>
      </c>
      <c r="K132" s="212">
        <f t="shared" si="32"/>
        <v>2.7331827677995531E-2</v>
      </c>
      <c r="L132" s="3" t="s">
        <v>83</v>
      </c>
      <c r="M132" s="3">
        <v>29746.405999999999</v>
      </c>
      <c r="N132" s="212">
        <f t="shared" si="33"/>
        <v>8.2188863639998208E-2</v>
      </c>
    </row>
    <row r="133" spans="5:14">
      <c r="H133" s="213">
        <f t="shared" si="31"/>
        <v>7.5548724839577792</v>
      </c>
      <c r="K133" s="212">
        <f t="shared" si="32"/>
        <v>2.7331827677995531E-2</v>
      </c>
      <c r="L133" s="3" t="s">
        <v>80</v>
      </c>
      <c r="M133" s="3">
        <v>276.41300000000001</v>
      </c>
      <c r="N133" s="212">
        <f t="shared" si="33"/>
        <v>7.6372488042161552E-4</v>
      </c>
    </row>
    <row r="134" spans="5:14">
      <c r="H134" s="213">
        <f t="shared" si="31"/>
        <v>6.8247573711954834E-2</v>
      </c>
      <c r="K134" s="212">
        <f t="shared" si="32"/>
        <v>2.7331827677995531E-2</v>
      </c>
      <c r="L134" s="3" t="s">
        <v>161</v>
      </c>
      <c r="M134" s="3">
        <v>2.4969999999999999</v>
      </c>
      <c r="N134" s="212">
        <f t="shared" si="33"/>
        <v>6.8991727104469533E-6</v>
      </c>
    </row>
    <row r="135" spans="5:14">
      <c r="H135" s="213">
        <f t="shared" si="31"/>
        <v>1.9706247755834776E-2</v>
      </c>
      <c r="K135" s="212">
        <f t="shared" si="32"/>
        <v>2.7331827677995531E-2</v>
      </c>
      <c r="L135" s="3" t="s">
        <v>160</v>
      </c>
      <c r="M135" s="3">
        <v>0.72099999999999997</v>
      </c>
      <c r="N135" s="212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C82:F82"/>
    <mergeCell ref="K82:N82"/>
    <mergeCell ref="C90:F90"/>
    <mergeCell ref="K90:N90"/>
    <mergeCell ref="B124:H12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O4:R4"/>
    <mergeCell ref="E4:E5"/>
    <mergeCell ref="F4:G4"/>
    <mergeCell ref="H4:I4"/>
    <mergeCell ref="K4:K5"/>
    <mergeCell ref="L4:N4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AA611-47A7-4F6C-A767-A91828717D84}">
  <ds:schemaRefs>
    <ds:schemaRef ds:uri="http://schemas.microsoft.com/office/2006/documentManagement/types"/>
    <ds:schemaRef ds:uri="f481ac27-dfc7-4634-a0ae-1eb35b24cd2a"/>
    <ds:schemaRef ds:uri="b9317516-fb96-4786-b592-56ea2e49ee5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77226e7c-1abe-4306-8039-ffe3b620ce6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1</vt:i4>
      </vt:variant>
    </vt:vector>
  </HeadingPairs>
  <TitlesOfParts>
    <vt:vector size="10" baseType="lpstr">
      <vt:lpstr>Hist</vt:lpstr>
      <vt:lpstr>SUM_CDP</vt:lpstr>
      <vt:lpstr>BAU</vt:lpstr>
      <vt:lpstr>SUM_SEAP</vt:lpstr>
      <vt:lpstr>Rap_GCP</vt:lpstr>
      <vt:lpstr>Rap_EM</vt:lpstr>
      <vt:lpstr>SUM_PGN</vt:lpstr>
      <vt:lpstr>pojazdy_przeliczenie</vt:lpstr>
      <vt:lpstr>II. TRANS (obliczenie wskaźnika</vt:lpstr>
      <vt:lpstr>rok_inw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umiwwr02</cp:lastModifiedBy>
  <cp:lastPrinted>2019-04-05T11:15:28Z</cp:lastPrinted>
  <dcterms:created xsi:type="dcterms:W3CDTF">2015-02-24T20:30:38Z</dcterms:created>
  <dcterms:modified xsi:type="dcterms:W3CDTF">2019-04-12T08:17:53Z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