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en_skoroszyt"/>
  <bookViews>
    <workbookView xWindow="0" yWindow="0" windowWidth="25200" windowHeight="11910" firstSheet="1" activeTab="1"/>
  </bookViews>
  <sheets>
    <sheet name="Hist" sheetId="36" r:id="rId1"/>
    <sheet name="SUM_CDP" sheetId="41" r:id="rId2"/>
    <sheet name="BAU" sheetId="40" state="hidden" r:id="rId3"/>
    <sheet name="SUM_SEAP" sheetId="38" r:id="rId4"/>
    <sheet name="Rap_GCP" sheetId="10" state="hidden" r:id="rId5"/>
    <sheet name="Rap_EM" sheetId="32" state="hidden" r:id="rId6"/>
    <sheet name="SUM_PGN" sheetId="15" r:id="rId7"/>
    <sheet name="II. TRANS (2)" sheetId="48" state="hidden" r:id="rId8"/>
    <sheet name="pojazdy_przeliczenie" sheetId="46" state="hidden" r:id="rId9"/>
    <sheet name="II. TRANS (obliczenie wskaźnika" sheetId="34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D_ED1" localSheetId="7">#REF!</definedName>
    <definedName name="D_ED1">#REF!</definedName>
    <definedName name="D_GD1" localSheetId="7">#REF!</definedName>
    <definedName name="D_GD1">#REF!</definedName>
    <definedName name="D_TR1" localSheetId="7">#REF!</definedName>
    <definedName name="D_TR1">#REF!</definedName>
    <definedName name="D_TR2" localSheetId="7">#REF!</definedName>
    <definedName name="D_TR2">#REF!</definedName>
    <definedName name="D_TR3" localSheetId="7">#REF!</definedName>
    <definedName name="D_TR3">#REF!</definedName>
    <definedName name="D_TR4" localSheetId="7">#REF!</definedName>
    <definedName name="D_TR4">#REF!</definedName>
    <definedName name="finansowanie">[1]finanse!$A$1:$A$16</definedName>
    <definedName name="GHG" localSheetId="9">#REF!</definedName>
    <definedName name="GHG" localSheetId="1">#REF!</definedName>
    <definedName name="GHG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 localSheetId="7">#REF!</definedName>
    <definedName name="Instrument">#REF!</definedName>
    <definedName name="Obszar" localSheetId="7">#REF!</definedName>
    <definedName name="Obszar">#REF!</definedName>
    <definedName name="paliwa" localSheetId="1">[2]PAR_PALIWA!$B$4:$B$20</definedName>
    <definedName name="paliwa">#REF!</definedName>
    <definedName name="rok_inw">SUM_SEAP!$E$2</definedName>
    <definedName name="stan" localSheetId="7">#REF!</definedName>
    <definedName name="stan">#REF!</definedName>
    <definedName name="V1_CH4_2013" localSheetId="7">'[2]V. AFOLU'!#REF!</definedName>
    <definedName name="V1_CH4_2013">'[2]V. AFOLU'!#REF!</definedName>
    <definedName name="V1_CO2e_1990">'[2]V. AFOLU'!$M$13</definedName>
    <definedName name="V1_CO2e_2013" localSheetId="7">'[2]V. AFOLU'!#REF!</definedName>
    <definedName name="V1_CO2e_2013">'[2]V. AFOLU'!#REF!</definedName>
    <definedName name="V1_N2O_2013" localSheetId="7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 localSheetId="7">#REF!</definedName>
    <definedName name="Zrodlo">#REF!</definedName>
  </definedNames>
  <calcPr calcId="124519"/>
</workbook>
</file>

<file path=xl/calcChain.xml><?xml version="1.0" encoding="utf-8"?>
<calcChain xmlns="http://schemas.openxmlformats.org/spreadsheetml/2006/main">
  <c r="L114" i="38"/>
  <c r="C115" i="48" l="1"/>
  <c r="D115" s="1"/>
  <c r="E115" s="1"/>
  <c r="G115" s="1"/>
  <c r="F35" s="1"/>
  <c r="D110"/>
  <c r="G109"/>
  <c r="H109" s="1"/>
  <c r="C109" s="1"/>
  <c r="G108"/>
  <c r="H108" s="1"/>
  <c r="C108" s="1"/>
  <c r="G107"/>
  <c r="H107" s="1"/>
  <c r="C107" s="1"/>
  <c r="G106"/>
  <c r="H106" s="1"/>
  <c r="C106" s="1"/>
  <c r="G105"/>
  <c r="H105" s="1"/>
  <c r="C105" s="1"/>
  <c r="G104"/>
  <c r="H104" s="1"/>
  <c r="C104" s="1"/>
  <c r="G103"/>
  <c r="H103" s="1"/>
  <c r="C103" s="1"/>
  <c r="G102"/>
  <c r="H102" s="1"/>
  <c r="C102" s="1"/>
  <c r="G101"/>
  <c r="H101" s="1"/>
  <c r="C101" s="1"/>
  <c r="H100"/>
  <c r="E100"/>
  <c r="F97"/>
  <c r="N97" s="1"/>
  <c r="E97"/>
  <c r="M97" s="1"/>
  <c r="D97"/>
  <c r="L97" s="1"/>
  <c r="C97"/>
  <c r="K97" s="1"/>
  <c r="L96"/>
  <c r="F96"/>
  <c r="N96" s="1"/>
  <c r="M96"/>
  <c r="K96"/>
  <c r="L95"/>
  <c r="F95"/>
  <c r="N95" s="1"/>
  <c r="E95"/>
  <c r="M95" s="1"/>
  <c r="C95"/>
  <c r="K95" s="1"/>
  <c r="L94"/>
  <c r="F94"/>
  <c r="N94" s="1"/>
  <c r="E94"/>
  <c r="M94" s="1"/>
  <c r="C94"/>
  <c r="K94" s="1"/>
  <c r="F93"/>
  <c r="N93" s="1"/>
  <c r="E93"/>
  <c r="M93" s="1"/>
  <c r="D93"/>
  <c r="L93" s="1"/>
  <c r="C93"/>
  <c r="K93" s="1"/>
  <c r="F92"/>
  <c r="E92"/>
  <c r="D92"/>
  <c r="C92"/>
  <c r="L81"/>
  <c r="L80"/>
  <c r="K80"/>
  <c r="L79"/>
  <c r="L72"/>
  <c r="M72"/>
  <c r="K72"/>
  <c r="L62"/>
  <c r="L57"/>
  <c r="M57"/>
  <c r="K57"/>
  <c r="L56"/>
  <c r="M56"/>
  <c r="K56"/>
  <c r="L55"/>
  <c r="M55"/>
  <c r="K55"/>
  <c r="N53"/>
  <c r="L53"/>
  <c r="M53"/>
  <c r="K53"/>
  <c r="L49"/>
  <c r="M49"/>
  <c r="L48"/>
  <c r="M48"/>
  <c r="K48"/>
  <c r="L47"/>
  <c r="M47"/>
  <c r="K47"/>
  <c r="L46"/>
  <c r="M46"/>
  <c r="K46"/>
  <c r="M45"/>
  <c r="J39"/>
  <c r="I39"/>
  <c r="H39"/>
  <c r="G39"/>
  <c r="N38"/>
  <c r="M38"/>
  <c r="L38"/>
  <c r="J38"/>
  <c r="I38"/>
  <c r="H38"/>
  <c r="G38"/>
  <c r="J36"/>
  <c r="I36"/>
  <c r="H36"/>
  <c r="G36"/>
  <c r="N35"/>
  <c r="M35"/>
  <c r="L35"/>
  <c r="J35"/>
  <c r="I35"/>
  <c r="H35"/>
  <c r="G35"/>
  <c r="J33"/>
  <c r="I33"/>
  <c r="H33"/>
  <c r="G33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C110" l="1"/>
  <c r="K35"/>
  <c r="K17"/>
  <c r="Q17" s="1"/>
  <c r="K19"/>
  <c r="O19" s="1"/>
  <c r="K21"/>
  <c r="Q21" s="1"/>
  <c r="K16"/>
  <c r="Q16" s="1"/>
  <c r="K18"/>
  <c r="Q18" s="1"/>
  <c r="K20"/>
  <c r="Q20" s="1"/>
  <c r="K22"/>
  <c r="P16"/>
  <c r="P17"/>
  <c r="P19"/>
  <c r="O93"/>
  <c r="O95"/>
  <c r="O97"/>
  <c r="O94"/>
  <c r="O96"/>
  <c r="O53"/>
  <c r="K8"/>
  <c r="K10"/>
  <c r="K12"/>
  <c r="K14"/>
  <c r="P21"/>
  <c r="K9"/>
  <c r="K11"/>
  <c r="K13"/>
  <c r="G46"/>
  <c r="G56"/>
  <c r="Q35"/>
  <c r="O35"/>
  <c r="P35"/>
  <c r="K38"/>
  <c r="G53"/>
  <c r="G55"/>
  <c r="G57"/>
  <c r="G92"/>
  <c r="G93"/>
  <c r="G94"/>
  <c r="G95"/>
  <c r="G96"/>
  <c r="G97"/>
  <c r="F115"/>
  <c r="H115" s="1"/>
  <c r="F36" s="1"/>
  <c r="O18" l="1"/>
  <c r="O17"/>
  <c r="R17" s="1"/>
  <c r="O20"/>
  <c r="P18"/>
  <c r="O21"/>
  <c r="R21" s="1"/>
  <c r="Q19"/>
  <c r="R19" s="1"/>
  <c r="O16"/>
  <c r="R16" s="1"/>
  <c r="P20"/>
  <c r="K15"/>
  <c r="R35"/>
  <c r="K36"/>
  <c r="Q38"/>
  <c r="O38"/>
  <c r="P38"/>
  <c r="Q13"/>
  <c r="O13"/>
  <c r="P13"/>
  <c r="Q9"/>
  <c r="O9"/>
  <c r="P9"/>
  <c r="Q10"/>
  <c r="O10"/>
  <c r="P10"/>
  <c r="Q11"/>
  <c r="O11"/>
  <c r="P11"/>
  <c r="Q12"/>
  <c r="O12"/>
  <c r="P12"/>
  <c r="Q8"/>
  <c r="O8"/>
  <c r="K7"/>
  <c r="P8"/>
  <c r="R18" l="1"/>
  <c r="R10"/>
  <c r="R9"/>
  <c r="R20"/>
  <c r="R12"/>
  <c r="R8"/>
  <c r="R38"/>
  <c r="K34"/>
  <c r="R11"/>
  <c r="R13"/>
  <c r="M39" l="1"/>
  <c r="M36"/>
  <c r="P36" s="1"/>
  <c r="P34" s="1"/>
  <c r="M22"/>
  <c r="P22" s="1"/>
  <c r="P15" s="1"/>
  <c r="M14"/>
  <c r="P14" s="1"/>
  <c r="P7" s="1"/>
  <c r="M33"/>
  <c r="M30"/>
  <c r="N36"/>
  <c r="Q36" s="1"/>
  <c r="Q34" s="1"/>
  <c r="N30"/>
  <c r="N22"/>
  <c r="Q22" s="1"/>
  <c r="Q15" s="1"/>
  <c r="N14"/>
  <c r="Q14" s="1"/>
  <c r="Q7" s="1"/>
  <c r="N33"/>
  <c r="N39"/>
  <c r="L39"/>
  <c r="L36"/>
  <c r="O36" s="1"/>
  <c r="L30"/>
  <c r="L14"/>
  <c r="O14" s="1"/>
  <c r="L33"/>
  <c r="L22"/>
  <c r="O22" s="1"/>
  <c r="S50" i="46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R33"/>
  <c r="Q33"/>
  <c r="T33" s="1"/>
  <c r="P33"/>
  <c r="S32"/>
  <c r="R32"/>
  <c r="Q32"/>
  <c r="P32"/>
  <c r="S31"/>
  <c r="R31"/>
  <c r="Q31"/>
  <c r="P31"/>
  <c r="S30"/>
  <c r="R30"/>
  <c r="Q30"/>
  <c r="P30"/>
  <c r="S29"/>
  <c r="R29"/>
  <c r="Q29"/>
  <c r="T29" s="1"/>
  <c r="P29"/>
  <c r="S26"/>
  <c r="R26"/>
  <c r="Q26"/>
  <c r="P26"/>
  <c r="S25"/>
  <c r="R25"/>
  <c r="Q25"/>
  <c r="P25"/>
  <c r="S24"/>
  <c r="R24"/>
  <c r="Q24"/>
  <c r="P24"/>
  <c r="S23"/>
  <c r="R23"/>
  <c r="Q23"/>
  <c r="T23" s="1"/>
  <c r="P23"/>
  <c r="S22"/>
  <c r="R22"/>
  <c r="Q22"/>
  <c r="P22"/>
  <c r="S21"/>
  <c r="R21"/>
  <c r="Q21"/>
  <c r="P21"/>
  <c r="S18"/>
  <c r="R18"/>
  <c r="Q18"/>
  <c r="P18"/>
  <c r="S17"/>
  <c r="R17"/>
  <c r="Q17"/>
  <c r="T17" s="1"/>
  <c r="P17"/>
  <c r="S16"/>
  <c r="R16"/>
  <c r="Q16"/>
  <c r="P16"/>
  <c r="S15"/>
  <c r="R15"/>
  <c r="Q15"/>
  <c r="P15"/>
  <c r="S14"/>
  <c r="R14"/>
  <c r="Q14"/>
  <c r="P14"/>
  <c r="S13"/>
  <c r="R13"/>
  <c r="Q13"/>
  <c r="T13" s="1"/>
  <c r="P13"/>
  <c r="P6"/>
  <c r="Q6"/>
  <c r="R6"/>
  <c r="S6"/>
  <c r="P7"/>
  <c r="Q7"/>
  <c r="T7" s="1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T49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D71" i="48" l="1"/>
  <c r="L71" s="1"/>
  <c r="D76"/>
  <c r="D78"/>
  <c r="L78" s="1"/>
  <c r="D88"/>
  <c r="L88" s="1"/>
  <c r="D45"/>
  <c r="L45" s="1"/>
  <c r="E54"/>
  <c r="M54" s="1"/>
  <c r="E60"/>
  <c r="E62"/>
  <c r="M62" s="1"/>
  <c r="E69"/>
  <c r="E70"/>
  <c r="M70" s="1"/>
  <c r="E71"/>
  <c r="M71" s="1"/>
  <c r="E73"/>
  <c r="M73" s="1"/>
  <c r="E76"/>
  <c r="E77"/>
  <c r="M77" s="1"/>
  <c r="E78"/>
  <c r="M78" s="1"/>
  <c r="E79"/>
  <c r="M79" s="1"/>
  <c r="E80"/>
  <c r="E81"/>
  <c r="M81" s="1"/>
  <c r="E84"/>
  <c r="E85"/>
  <c r="M85" s="1"/>
  <c r="E86"/>
  <c r="M86" s="1"/>
  <c r="E87"/>
  <c r="M87" s="1"/>
  <c r="E88"/>
  <c r="M88" s="1"/>
  <c r="E89"/>
  <c r="M89" s="1"/>
  <c r="D54"/>
  <c r="L54" s="1"/>
  <c r="D61"/>
  <c r="D69"/>
  <c r="L69" s="1"/>
  <c r="D70"/>
  <c r="L70" s="1"/>
  <c r="D73"/>
  <c r="L73" s="1"/>
  <c r="D84"/>
  <c r="D86"/>
  <c r="L86" s="1"/>
  <c r="D89"/>
  <c r="L89" s="1"/>
  <c r="T39" i="46"/>
  <c r="D44" i="48"/>
  <c r="C49"/>
  <c r="C45"/>
  <c r="F54"/>
  <c r="N54" s="1"/>
  <c r="F60"/>
  <c r="F61"/>
  <c r="F62"/>
  <c r="N62" s="1"/>
  <c r="F63"/>
  <c r="F64"/>
  <c r="F65"/>
  <c r="F68"/>
  <c r="F69"/>
  <c r="F70"/>
  <c r="N70" s="1"/>
  <c r="F71"/>
  <c r="N71" s="1"/>
  <c r="F72"/>
  <c r="F73"/>
  <c r="N73" s="1"/>
  <c r="F76"/>
  <c r="F77"/>
  <c r="N77" s="1"/>
  <c r="F78"/>
  <c r="N78" s="1"/>
  <c r="F79"/>
  <c r="F80"/>
  <c r="F81"/>
  <c r="F84"/>
  <c r="F85"/>
  <c r="N85" s="1"/>
  <c r="F86"/>
  <c r="F87"/>
  <c r="N87" s="1"/>
  <c r="F88"/>
  <c r="N88" s="1"/>
  <c r="F89"/>
  <c r="N89" s="1"/>
  <c r="F44"/>
  <c r="D52"/>
  <c r="D60"/>
  <c r="D68"/>
  <c r="D77"/>
  <c r="L77" s="1"/>
  <c r="D85"/>
  <c r="L85" s="1"/>
  <c r="D87"/>
  <c r="L87" s="1"/>
  <c r="T45" i="46"/>
  <c r="T5"/>
  <c r="T10"/>
  <c r="F49" i="48"/>
  <c r="N49" s="1"/>
  <c r="T9" i="46"/>
  <c r="F48" i="48"/>
  <c r="T8" i="46"/>
  <c r="F47" i="48"/>
  <c r="T6" i="46"/>
  <c r="F45" i="48"/>
  <c r="N45" s="1"/>
  <c r="C52"/>
  <c r="T14" i="46"/>
  <c r="T15"/>
  <c r="C54" i="48"/>
  <c r="T16" i="46"/>
  <c r="T18"/>
  <c r="T21"/>
  <c r="C60" i="48"/>
  <c r="T22" i="46"/>
  <c r="C61" i="48"/>
  <c r="C62"/>
  <c r="T24" i="46"/>
  <c r="T25"/>
  <c r="T26"/>
  <c r="C68" i="48"/>
  <c r="T30" i="46"/>
  <c r="C69" i="48"/>
  <c r="T31" i="46"/>
  <c r="C70" i="48"/>
  <c r="T32" i="46"/>
  <c r="C71" i="48"/>
  <c r="T34" i="46"/>
  <c r="C73" i="48"/>
  <c r="T37" i="46"/>
  <c r="C76" i="48"/>
  <c r="T38" i="46"/>
  <c r="C77" i="48"/>
  <c r="C78"/>
  <c r="T40" i="46"/>
  <c r="C79" i="48"/>
  <c r="T41" i="46"/>
  <c r="T42"/>
  <c r="C81" i="48"/>
  <c r="C84"/>
  <c r="T46" i="46"/>
  <c r="C85" i="48"/>
  <c r="T47" i="46"/>
  <c r="C86" i="48"/>
  <c r="T48" i="46"/>
  <c r="C87" i="48"/>
  <c r="C88"/>
  <c r="T50" i="46"/>
  <c r="C89" i="48"/>
  <c r="R22"/>
  <c r="R15" s="1"/>
  <c r="O15"/>
  <c r="O7"/>
  <c r="R14"/>
  <c r="R7" s="1"/>
  <c r="O34"/>
  <c r="R36"/>
  <c r="R34" s="1"/>
  <c r="K88" l="1"/>
  <c r="O88" s="1"/>
  <c r="G88"/>
  <c r="K78"/>
  <c r="O78" s="1"/>
  <c r="G78"/>
  <c r="K73"/>
  <c r="O73" s="1"/>
  <c r="G73"/>
  <c r="G68"/>
  <c r="K89"/>
  <c r="O89" s="1"/>
  <c r="G89"/>
  <c r="K86"/>
  <c r="G86"/>
  <c r="K81"/>
  <c r="G81"/>
  <c r="K79"/>
  <c r="G79"/>
  <c r="G76"/>
  <c r="K69"/>
  <c r="G69"/>
  <c r="K62"/>
  <c r="O62" s="1"/>
  <c r="G62"/>
  <c r="K85"/>
  <c r="O85" s="1"/>
  <c r="G85"/>
  <c r="G64"/>
  <c r="K45"/>
  <c r="O45" s="1"/>
  <c r="G45"/>
  <c r="G65"/>
  <c r="G63"/>
  <c r="H62" s="1"/>
  <c r="H63" s="1"/>
  <c r="K49"/>
  <c r="O49" s="1"/>
  <c r="G49"/>
  <c r="M80"/>
  <c r="G80"/>
  <c r="N47"/>
  <c r="O47" s="1"/>
  <c r="G47"/>
  <c r="N72"/>
  <c r="O72" s="1"/>
  <c r="G72"/>
  <c r="G44"/>
  <c r="K87"/>
  <c r="O87" s="1"/>
  <c r="G87"/>
  <c r="K77"/>
  <c r="O77" s="1"/>
  <c r="G77"/>
  <c r="K70"/>
  <c r="O70" s="1"/>
  <c r="G70"/>
  <c r="G60"/>
  <c r="G84"/>
  <c r="K71"/>
  <c r="O71" s="1"/>
  <c r="G71"/>
  <c r="G61"/>
  <c r="K54"/>
  <c r="O54" s="1"/>
  <c r="G54"/>
  <c r="G52"/>
  <c r="N48"/>
  <c r="O48" s="1"/>
  <c r="G48"/>
  <c r="F33" l="1"/>
  <c r="K33" s="1"/>
  <c r="O33" l="1"/>
  <c r="Q33"/>
  <c r="Q32" s="1"/>
  <c r="K32"/>
  <c r="P33"/>
  <c r="P32" s="1"/>
  <c r="K44"/>
  <c r="C142" i="40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4" i="38"/>
  <c r="O44"/>
  <c r="N44"/>
  <c r="M44"/>
  <c r="L44"/>
  <c r="K44"/>
  <c r="J44"/>
  <c r="I44"/>
  <c r="H44"/>
  <c r="G44"/>
  <c r="F44"/>
  <c r="E44"/>
  <c r="D44"/>
  <c r="C44"/>
  <c r="C36"/>
  <c r="E35"/>
  <c r="E34"/>
  <c r="E33"/>
  <c r="E32"/>
  <c r="C106" i="40"/>
  <c r="K61" i="48"/>
  <c r="L61"/>
  <c r="M61"/>
  <c r="N61"/>
  <c r="K63"/>
  <c r="L63"/>
  <c r="M63"/>
  <c r="N63"/>
  <c r="K64"/>
  <c r="L64"/>
  <c r="M64"/>
  <c r="N64"/>
  <c r="K65"/>
  <c r="L65"/>
  <c r="M65"/>
  <c r="N86"/>
  <c r="O86" s="1"/>
  <c r="N81"/>
  <c r="O81" s="1"/>
  <c r="N80"/>
  <c r="O80" s="1"/>
  <c r="N69"/>
  <c r="N57"/>
  <c r="O57" s="1"/>
  <c r="N56"/>
  <c r="O56" s="1"/>
  <c r="N55"/>
  <c r="O55" s="1"/>
  <c r="N46"/>
  <c r="O46" s="1"/>
  <c r="R6" i="32"/>
  <c r="Q6"/>
  <c r="Q43" s="1"/>
  <c r="K6"/>
  <c r="K43" s="1"/>
  <c r="L6"/>
  <c r="L43" s="1"/>
  <c r="N6"/>
  <c r="N43" s="1"/>
  <c r="F41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M120" s="1"/>
  <c r="L112"/>
  <c r="K112"/>
  <c r="J112"/>
  <c r="I112"/>
  <c r="H112"/>
  <c r="G112"/>
  <c r="G120" s="1"/>
  <c r="N111"/>
  <c r="N120" s="1"/>
  <c r="M111"/>
  <c r="L111"/>
  <c r="L120" s="1"/>
  <c r="K111"/>
  <c r="K120" s="1"/>
  <c r="J111"/>
  <c r="I111"/>
  <c r="H111"/>
  <c r="H120"/>
  <c r="G111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K87"/>
  <c r="G87"/>
  <c r="N86"/>
  <c r="M86"/>
  <c r="L86"/>
  <c r="K86"/>
  <c r="G86"/>
  <c r="N85"/>
  <c r="M85"/>
  <c r="L85"/>
  <c r="K85"/>
  <c r="G85"/>
  <c r="G84"/>
  <c r="N81"/>
  <c r="M81"/>
  <c r="L81"/>
  <c r="K81"/>
  <c r="G81"/>
  <c r="M80"/>
  <c r="L80"/>
  <c r="K80"/>
  <c r="G80"/>
  <c r="M79"/>
  <c r="L79"/>
  <c r="K79"/>
  <c r="G79"/>
  <c r="N78"/>
  <c r="M78"/>
  <c r="L78"/>
  <c r="K78"/>
  <c r="O78" s="1"/>
  <c r="G78"/>
  <c r="N77"/>
  <c r="M77"/>
  <c r="L77"/>
  <c r="K77"/>
  <c r="G77"/>
  <c r="G76"/>
  <c r="N73"/>
  <c r="M73"/>
  <c r="L73"/>
  <c r="K73"/>
  <c r="G73"/>
  <c r="N72"/>
  <c r="M72"/>
  <c r="L72"/>
  <c r="K72"/>
  <c r="G72"/>
  <c r="N71"/>
  <c r="M71"/>
  <c r="L71"/>
  <c r="K71"/>
  <c r="G71"/>
  <c r="N70"/>
  <c r="M70"/>
  <c r="L70"/>
  <c r="K70"/>
  <c r="G70"/>
  <c r="L69"/>
  <c r="K69"/>
  <c r="G69"/>
  <c r="G68"/>
  <c r="L65"/>
  <c r="K65"/>
  <c r="G65"/>
  <c r="M64"/>
  <c r="L64"/>
  <c r="K64"/>
  <c r="G64"/>
  <c r="N63"/>
  <c r="L63"/>
  <c r="K63"/>
  <c r="G63"/>
  <c r="N62"/>
  <c r="M62"/>
  <c r="L62"/>
  <c r="K62"/>
  <c r="G62"/>
  <c r="L61"/>
  <c r="K61"/>
  <c r="G61"/>
  <c r="G60"/>
  <c r="M57"/>
  <c r="L57"/>
  <c r="K57"/>
  <c r="G57"/>
  <c r="M56"/>
  <c r="L56"/>
  <c r="K56"/>
  <c r="G56"/>
  <c r="N55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O48" s="1"/>
  <c r="G48"/>
  <c r="N47"/>
  <c r="M47"/>
  <c r="L47"/>
  <c r="K47"/>
  <c r="G47"/>
  <c r="M46"/>
  <c r="L46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L92" i="48"/>
  <c r="K92"/>
  <c r="N76" i="34"/>
  <c r="M76"/>
  <c r="N68"/>
  <c r="M68"/>
  <c r="N60"/>
  <c r="M60"/>
  <c r="L60"/>
  <c r="N52"/>
  <c r="K92"/>
  <c r="L92"/>
  <c r="K44"/>
  <c r="Z43" i="32"/>
  <c r="Y43"/>
  <c r="R43"/>
  <c r="P43"/>
  <c r="V43"/>
  <c r="X43"/>
  <c r="AC43"/>
  <c r="AB43"/>
  <c r="U43"/>
  <c r="AE43"/>
  <c r="T43"/>
  <c r="O55" i="34" l="1"/>
  <c r="O81"/>
  <c r="O94"/>
  <c r="N46"/>
  <c r="N56"/>
  <c r="O56" s="1"/>
  <c r="O62"/>
  <c r="N64"/>
  <c r="O64" s="1"/>
  <c r="O85"/>
  <c r="O86"/>
  <c r="O87"/>
  <c r="O88"/>
  <c r="O89"/>
  <c r="O93"/>
  <c r="O95"/>
  <c r="O96"/>
  <c r="O97"/>
  <c r="M52" i="48"/>
  <c r="K60" i="34"/>
  <c r="O45"/>
  <c r="O46"/>
  <c r="O47"/>
  <c r="O49"/>
  <c r="O53"/>
  <c r="O54"/>
  <c r="N57"/>
  <c r="O57" s="1"/>
  <c r="O70"/>
  <c r="O71"/>
  <c r="O72"/>
  <c r="O73"/>
  <c r="O77"/>
  <c r="N61"/>
  <c r="J120"/>
  <c r="K52"/>
  <c r="K52" i="48"/>
  <c r="K68" i="34"/>
  <c r="K68" i="48"/>
  <c r="K76" i="34"/>
  <c r="K76" i="48"/>
  <c r="K84" i="34"/>
  <c r="O84" s="1"/>
  <c r="F28" s="1"/>
  <c r="K28" s="1"/>
  <c r="K84" i="48"/>
  <c r="M61" i="34"/>
  <c r="O61" s="1"/>
  <c r="M65"/>
  <c r="N52" i="48"/>
  <c r="M68"/>
  <c r="M76"/>
  <c r="M60"/>
  <c r="N92" i="34"/>
  <c r="N92" i="48"/>
  <c r="N60"/>
  <c r="L44" i="34"/>
  <c r="L44" i="48"/>
  <c r="O44" s="1"/>
  <c r="F24" s="1"/>
  <c r="K24" s="1"/>
  <c r="L52" i="34"/>
  <c r="L52" i="48"/>
  <c r="L68" i="34"/>
  <c r="L68" i="48"/>
  <c r="L76" i="34"/>
  <c r="L76" i="48"/>
  <c r="L84" i="34"/>
  <c r="L84" i="48"/>
  <c r="N69" i="34"/>
  <c r="N80"/>
  <c r="O80" s="1"/>
  <c r="I120"/>
  <c r="N68" i="48"/>
  <c r="N76"/>
  <c r="L60"/>
  <c r="O64"/>
  <c r="O63"/>
  <c r="O61"/>
  <c r="N44" i="34"/>
  <c r="N44" i="48"/>
  <c r="N84" i="34"/>
  <c r="N84" i="48"/>
  <c r="M44" i="34"/>
  <c r="M44" i="48"/>
  <c r="M52" i="34"/>
  <c r="M84"/>
  <c r="M84" i="48"/>
  <c r="M92" i="34"/>
  <c r="M92" i="48"/>
  <c r="O92" s="1"/>
  <c r="F30" s="1"/>
  <c r="K30" s="1"/>
  <c r="M63" i="34"/>
  <c r="O63" s="1"/>
  <c r="M69"/>
  <c r="M69" i="48"/>
  <c r="O69" s="1"/>
  <c r="N79" i="34"/>
  <c r="N79" i="48"/>
  <c r="O79" s="1"/>
  <c r="K60"/>
  <c r="O60" s="1"/>
  <c r="N65" i="34"/>
  <c r="N65" i="48"/>
  <c r="O65" s="1"/>
  <c r="R33"/>
  <c r="R32" s="1"/>
  <c r="O32"/>
  <c r="O92" i="34"/>
  <c r="F30" s="1"/>
  <c r="O76"/>
  <c r="AA18" i="40"/>
  <c r="S21" s="1"/>
  <c r="G41" i="15"/>
  <c r="K22" i="34"/>
  <c r="P22" s="1"/>
  <c r="K16"/>
  <c r="P16" s="1"/>
  <c r="K18"/>
  <c r="P18" s="1"/>
  <c r="K33"/>
  <c r="O33" s="1"/>
  <c r="K39"/>
  <c r="Q39" s="1"/>
  <c r="O44"/>
  <c r="F24" s="1"/>
  <c r="O52"/>
  <c r="O60"/>
  <c r="O68"/>
  <c r="H129"/>
  <c r="C105" i="40"/>
  <c r="E36" i="38"/>
  <c r="K122" i="34"/>
  <c r="L122" s="1"/>
  <c r="M122" s="1"/>
  <c r="E83" i="40"/>
  <c r="K8" i="34"/>
  <c r="P8" s="1"/>
  <c r="K12"/>
  <c r="O12" s="1"/>
  <c r="K14"/>
  <c r="O14" s="1"/>
  <c r="K17"/>
  <c r="Q17" s="1"/>
  <c r="K19"/>
  <c r="P19" s="1"/>
  <c r="K21"/>
  <c r="Q21" s="1"/>
  <c r="K38"/>
  <c r="O38" s="1"/>
  <c r="K24"/>
  <c r="P24" s="1"/>
  <c r="K30"/>
  <c r="P30" s="1"/>
  <c r="K10"/>
  <c r="P10" s="1"/>
  <c r="K9"/>
  <c r="O9" s="1"/>
  <c r="C114" i="40"/>
  <c r="S139" s="1"/>
  <c r="O69" i="34"/>
  <c r="F27" s="1"/>
  <c r="K27" s="1"/>
  <c r="P27" s="1"/>
  <c r="O79"/>
  <c r="O65"/>
  <c r="K11"/>
  <c r="O11" s="1"/>
  <c r="K13"/>
  <c r="O13" s="1"/>
  <c r="K20"/>
  <c r="P20" s="1"/>
  <c r="AA21" i="40"/>
  <c r="S17" s="1"/>
  <c r="AA27"/>
  <c r="D30" s="1"/>
  <c r="AA24"/>
  <c r="I30" s="1"/>
  <c r="AA20"/>
  <c r="S16" s="1"/>
  <c r="AA29"/>
  <c r="AA26"/>
  <c r="N30" s="1"/>
  <c r="AA23"/>
  <c r="K30" s="1"/>
  <c r="H133" i="34"/>
  <c r="K133" s="1"/>
  <c r="H130"/>
  <c r="K130" s="1"/>
  <c r="H135"/>
  <c r="K135" s="1"/>
  <c r="H134"/>
  <c r="K134" s="1"/>
  <c r="H132"/>
  <c r="K132" s="1"/>
  <c r="H131"/>
  <c r="K131" s="1"/>
  <c r="S29" i="40"/>
  <c r="S30" s="1"/>
  <c r="D21"/>
  <c r="D25"/>
  <c r="D29"/>
  <c r="D16"/>
  <c r="D18"/>
  <c r="D26"/>
  <c r="D24"/>
  <c r="D15"/>
  <c r="D17"/>
  <c r="M49"/>
  <c r="F21"/>
  <c r="F16"/>
  <c r="F17"/>
  <c r="F29"/>
  <c r="F26"/>
  <c r="F15"/>
  <c r="F25"/>
  <c r="F24"/>
  <c r="F18"/>
  <c r="E126" i="34"/>
  <c r="G126" s="1"/>
  <c r="F35" s="1"/>
  <c r="K35" s="1"/>
  <c r="L30" i="40"/>
  <c r="O18" i="34"/>
  <c r="J30" i="40"/>
  <c r="O30"/>
  <c r="Q30"/>
  <c r="AA19"/>
  <c r="AA28"/>
  <c r="E30" s="1"/>
  <c r="O28" i="34" l="1"/>
  <c r="Q28"/>
  <c r="Q10"/>
  <c r="F29"/>
  <c r="K29" s="1"/>
  <c r="P29" s="1"/>
  <c r="Q18"/>
  <c r="P28"/>
  <c r="R28" s="1"/>
  <c r="F25"/>
  <c r="K25" s="1"/>
  <c r="Q33"/>
  <c r="F40" i="40"/>
  <c r="P33" i="34"/>
  <c r="R33" s="1"/>
  <c r="C113" i="40"/>
  <c r="S138" s="1"/>
  <c r="P21" i="34"/>
  <c r="O21"/>
  <c r="O10"/>
  <c r="R10" s="1"/>
  <c r="Q30" i="48"/>
  <c r="O30"/>
  <c r="P30"/>
  <c r="F26"/>
  <c r="K26" s="1"/>
  <c r="P24"/>
  <c r="Q24"/>
  <c r="O24"/>
  <c r="O76"/>
  <c r="F29" s="1"/>
  <c r="K29" s="1"/>
  <c r="O52"/>
  <c r="F25" s="1"/>
  <c r="K25" s="1"/>
  <c r="F26" i="34"/>
  <c r="K26" s="1"/>
  <c r="Q26" s="1"/>
  <c r="F126"/>
  <c r="H126" s="1"/>
  <c r="F36" s="1"/>
  <c r="K36" s="1"/>
  <c r="O36" s="1"/>
  <c r="O24"/>
  <c r="E105" i="40"/>
  <c r="Q24" i="34"/>
  <c r="O19"/>
  <c r="O84" i="48"/>
  <c r="F28" s="1"/>
  <c r="K28" s="1"/>
  <c r="O68"/>
  <c r="F27" s="1"/>
  <c r="K27" s="1"/>
  <c r="Q12" i="34"/>
  <c r="Q16"/>
  <c r="P25"/>
  <c r="F46" i="40"/>
  <c r="O16" i="34"/>
  <c r="Q8"/>
  <c r="O22"/>
  <c r="P9"/>
  <c r="Q22"/>
  <c r="R22" s="1"/>
  <c r="M51" i="40"/>
  <c r="O30" i="34"/>
  <c r="P38"/>
  <c r="O8"/>
  <c r="P39"/>
  <c r="O39"/>
  <c r="R18"/>
  <c r="O29"/>
  <c r="Q29"/>
  <c r="Q19"/>
  <c r="D37" i="40"/>
  <c r="M38"/>
  <c r="O17" i="34"/>
  <c r="P12"/>
  <c r="P17"/>
  <c r="P14"/>
  <c r="Q38"/>
  <c r="O27"/>
  <c r="Q27"/>
  <c r="Q30"/>
  <c r="O20"/>
  <c r="Q14"/>
  <c r="Q11"/>
  <c r="Q9"/>
  <c r="R9" s="1"/>
  <c r="Q13"/>
  <c r="M6" i="32"/>
  <c r="M43" s="1"/>
  <c r="P11" i="34"/>
  <c r="Q20"/>
  <c r="M43" i="40"/>
  <c r="P13" i="34"/>
  <c r="P30" i="40"/>
  <c r="R30"/>
  <c r="H30"/>
  <c r="G30"/>
  <c r="E24"/>
  <c r="E46" s="1"/>
  <c r="E15"/>
  <c r="E37" s="1"/>
  <c r="E25"/>
  <c r="E47" s="1"/>
  <c r="E18"/>
  <c r="E40" s="1"/>
  <c r="E26"/>
  <c r="E48" s="1"/>
  <c r="E21"/>
  <c r="E16"/>
  <c r="E17"/>
  <c r="E29"/>
  <c r="I18"/>
  <c r="I40" s="1"/>
  <c r="I15"/>
  <c r="I37" s="1"/>
  <c r="I21"/>
  <c r="I43" s="1"/>
  <c r="I26"/>
  <c r="I29"/>
  <c r="I16"/>
  <c r="I38" s="1"/>
  <c r="I24"/>
  <c r="I46" s="1"/>
  <c r="I17"/>
  <c r="I39" s="1"/>
  <c r="I25"/>
  <c r="I47" s="1"/>
  <c r="O17"/>
  <c r="O39" s="1"/>
  <c r="O25"/>
  <c r="O47" s="1"/>
  <c r="O26"/>
  <c r="O16"/>
  <c r="O38" s="1"/>
  <c r="O24"/>
  <c r="O46" s="1"/>
  <c r="O15"/>
  <c r="O37" s="1"/>
  <c r="O21"/>
  <c r="O43" s="1"/>
  <c r="O29"/>
  <c r="O51" s="1"/>
  <c r="O18"/>
  <c r="O40" s="1"/>
  <c r="N17"/>
  <c r="N39" s="1"/>
  <c r="N26"/>
  <c r="N21"/>
  <c r="N43" s="1"/>
  <c r="N16"/>
  <c r="N38" s="1"/>
  <c r="N18"/>
  <c r="N40" s="1"/>
  <c r="N25"/>
  <c r="N47" s="1"/>
  <c r="N15"/>
  <c r="N37" s="1"/>
  <c r="N24"/>
  <c r="N46" s="1"/>
  <c r="N29"/>
  <c r="N51" s="1"/>
  <c r="Q36" i="34"/>
  <c r="L25" i="40"/>
  <c r="L47" s="1"/>
  <c r="L16"/>
  <c r="L38" s="1"/>
  <c r="L24"/>
  <c r="L46" s="1"/>
  <c r="L15"/>
  <c r="L37" s="1"/>
  <c r="L21"/>
  <c r="L43" s="1"/>
  <c r="L29"/>
  <c r="L51" s="1"/>
  <c r="L18"/>
  <c r="L40" s="1"/>
  <c r="L26"/>
  <c r="L48" s="1"/>
  <c r="L17"/>
  <c r="P35" i="34"/>
  <c r="O35"/>
  <c r="Q35"/>
  <c r="F37" i="40"/>
  <c r="S25"/>
  <c r="S26"/>
  <c r="Q15"/>
  <c r="Q37" s="1"/>
  <c r="Q29"/>
  <c r="Q51" s="1"/>
  <c r="Q21"/>
  <c r="Q43" s="1"/>
  <c r="Q25"/>
  <c r="Q47" s="1"/>
  <c r="Q16"/>
  <c r="Q38" s="1"/>
  <c r="Q24"/>
  <c r="Q46" s="1"/>
  <c r="Q17"/>
  <c r="Q39" s="1"/>
  <c r="Q18"/>
  <c r="Q40" s="1"/>
  <c r="Q26"/>
  <c r="Q48" s="1"/>
  <c r="J15"/>
  <c r="J37" s="1"/>
  <c r="J21"/>
  <c r="J43" s="1"/>
  <c r="J29"/>
  <c r="J51" s="1"/>
  <c r="J18"/>
  <c r="J40" s="1"/>
  <c r="J17"/>
  <c r="J39" s="1"/>
  <c r="J25"/>
  <c r="J47" s="1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R30" i="34" l="1"/>
  <c r="R12"/>
  <c r="R16"/>
  <c r="R8"/>
  <c r="R21"/>
  <c r="O26"/>
  <c r="P26"/>
  <c r="R38"/>
  <c r="R19"/>
  <c r="R24"/>
  <c r="Q25"/>
  <c r="O25"/>
  <c r="P36"/>
  <c r="R36" s="1"/>
  <c r="E39" i="40"/>
  <c r="D51"/>
  <c r="R24" i="48"/>
  <c r="O26"/>
  <c r="Q26"/>
  <c r="P26"/>
  <c r="O27"/>
  <c r="P27"/>
  <c r="Q27"/>
  <c r="Q25"/>
  <c r="O25"/>
  <c r="P25"/>
  <c r="K23"/>
  <c r="K6" s="1"/>
  <c r="R30"/>
  <c r="Q28"/>
  <c r="O28"/>
  <c r="P28"/>
  <c r="F51" i="40"/>
  <c r="O29" i="48"/>
  <c r="Q29"/>
  <c r="P29"/>
  <c r="M37" i="40"/>
  <c r="M44" s="1"/>
  <c r="M52" s="1"/>
  <c r="R27" i="34"/>
  <c r="J6" i="32"/>
  <c r="J43" s="1"/>
  <c r="G6"/>
  <c r="G43" s="1"/>
  <c r="D47" i="40"/>
  <c r="F48"/>
  <c r="D46"/>
  <c r="F39"/>
  <c r="R13" i="34"/>
  <c r="N48" i="40"/>
  <c r="N49" s="1"/>
  <c r="S63"/>
  <c r="F43"/>
  <c r="J46"/>
  <c r="R20" i="34"/>
  <c r="O48" i="40"/>
  <c r="O49" s="1"/>
  <c r="E51"/>
  <c r="R39" i="34"/>
  <c r="R29"/>
  <c r="D40" i="40"/>
  <c r="E38"/>
  <c r="I51"/>
  <c r="F6" i="32"/>
  <c r="F43" s="1"/>
  <c r="R17" i="34"/>
  <c r="E43" i="40"/>
  <c r="S70"/>
  <c r="S69"/>
  <c r="F38"/>
  <c r="F44" s="1"/>
  <c r="S74"/>
  <c r="F47"/>
  <c r="F49" s="1"/>
  <c r="R14" i="34"/>
  <c r="R11"/>
  <c r="O6" i="32"/>
  <c r="O43" s="1"/>
  <c r="P21" i="40"/>
  <c r="P43" s="1"/>
  <c r="P17"/>
  <c r="P39" s="1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39" s="1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39" s="1"/>
  <c r="G26"/>
  <c r="G16"/>
  <c r="G38" s="1"/>
  <c r="G21"/>
  <c r="G43" s="1"/>
  <c r="G15"/>
  <c r="G37" s="1"/>
  <c r="G24"/>
  <c r="G46" s="1"/>
  <c r="G18"/>
  <c r="G40" s="1"/>
  <c r="G25"/>
  <c r="G47" s="1"/>
  <c r="G29"/>
  <c r="G51" s="1"/>
  <c r="K44"/>
  <c r="O44"/>
  <c r="L49"/>
  <c r="I48"/>
  <c r="I49" s="1"/>
  <c r="E49"/>
  <c r="Q44"/>
  <c r="N44"/>
  <c r="K49"/>
  <c r="J44"/>
  <c r="Q49"/>
  <c r="S60"/>
  <c r="I6" i="32"/>
  <c r="I43" s="1"/>
  <c r="I44" i="40"/>
  <c r="R35" i="34"/>
  <c r="R26" l="1"/>
  <c r="R25"/>
  <c r="G48" i="40"/>
  <c r="E44"/>
  <c r="E52" s="1"/>
  <c r="R28" i="48"/>
  <c r="P23"/>
  <c r="P6" s="1"/>
  <c r="Q23"/>
  <c r="Q6" s="1"/>
  <c r="R25"/>
  <c r="R27"/>
  <c r="R26"/>
  <c r="O23"/>
  <c r="O6" s="1"/>
  <c r="R29"/>
  <c r="C115" i="40"/>
  <c r="S140" s="1"/>
  <c r="H6" i="32"/>
  <c r="H43" s="1"/>
  <c r="J48" i="40"/>
  <c r="J49" s="1"/>
  <c r="J52" s="1"/>
  <c r="L39"/>
  <c r="L44" s="1"/>
  <c r="L52" s="1"/>
  <c r="S46"/>
  <c r="L69" s="1"/>
  <c r="L131" s="1"/>
  <c r="S40"/>
  <c r="M63" s="1"/>
  <c r="M125" s="1"/>
  <c r="S47"/>
  <c r="Q70" s="1"/>
  <c r="Q132" s="1"/>
  <c r="S51"/>
  <c r="G74" s="1"/>
  <c r="G136" s="1"/>
  <c r="F52"/>
  <c r="H44"/>
  <c r="G44"/>
  <c r="S37"/>
  <c r="I60" s="1"/>
  <c r="I122" s="1"/>
  <c r="P49"/>
  <c r="R49"/>
  <c r="K52"/>
  <c r="R44"/>
  <c r="P44"/>
  <c r="P52" s="1"/>
  <c r="N52"/>
  <c r="H49"/>
  <c r="Q52"/>
  <c r="I52"/>
  <c r="O52"/>
  <c r="G49"/>
  <c r="R42" i="48" l="1"/>
  <c r="R23"/>
  <c r="R6" s="1"/>
  <c r="K70" i="40"/>
  <c r="K132" s="1"/>
  <c r="H70"/>
  <c r="H132" s="1"/>
  <c r="E74"/>
  <c r="E136" s="1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8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52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S136" l="1"/>
  <c r="S125"/>
  <c r="S132"/>
  <c r="S38"/>
  <c r="S39"/>
  <c r="D62" s="1"/>
  <c r="D124" s="1"/>
  <c r="S61"/>
  <c r="D43"/>
  <c r="D44" s="1"/>
  <c r="S66"/>
  <c r="M122"/>
  <c r="H122"/>
  <c r="F122"/>
  <c r="Q122"/>
  <c r="P122"/>
  <c r="L122"/>
  <c r="S131"/>
  <c r="K61" l="1"/>
  <c r="G61"/>
  <c r="Q61"/>
  <c r="F61"/>
  <c r="M61"/>
  <c r="P61"/>
  <c r="H61"/>
  <c r="J61"/>
  <c r="E61"/>
  <c r="R61"/>
  <c r="N61"/>
  <c r="I61"/>
  <c r="L61"/>
  <c r="O61"/>
  <c r="D61"/>
  <c r="S67"/>
  <c r="S43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D123" l="1"/>
  <c r="J123"/>
  <c r="F123"/>
  <c r="S124"/>
  <c r="O123"/>
  <c r="R123"/>
  <c r="H123"/>
  <c r="Q123"/>
  <c r="L123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S44"/>
  <c r="P123"/>
  <c r="G123"/>
  <c r="D66"/>
  <c r="D128" s="1"/>
  <c r="I123"/>
  <c r="E123"/>
  <c r="M123"/>
  <c r="K123"/>
  <c r="N123"/>
  <c r="K129" l="1"/>
  <c r="P67"/>
  <c r="G129"/>
  <c r="E129"/>
  <c r="I129"/>
  <c r="M129"/>
  <c r="M67"/>
  <c r="Q129"/>
  <c r="E67"/>
  <c r="G67"/>
  <c r="N129"/>
  <c r="J129"/>
  <c r="L129"/>
  <c r="O129"/>
  <c r="K67"/>
  <c r="S128"/>
  <c r="P129"/>
  <c r="Q67"/>
  <c r="R67"/>
  <c r="J67"/>
  <c r="R129"/>
  <c r="N67"/>
  <c r="I67"/>
  <c r="L67"/>
  <c r="H67"/>
  <c r="O67"/>
  <c r="F67"/>
  <c r="D67"/>
  <c r="H129"/>
  <c r="F129"/>
  <c r="S123"/>
  <c r="D129"/>
  <c r="S129" l="1"/>
  <c r="F39" i="48" l="1"/>
  <c r="K39" s="1"/>
  <c r="Q39" l="1"/>
  <c r="Q37" s="1"/>
  <c r="Q31" s="1"/>
  <c r="K37"/>
  <c r="K31" s="1"/>
  <c r="O39"/>
  <c r="P39"/>
  <c r="P37" s="1"/>
  <c r="P31" s="1"/>
  <c r="D48" i="40" l="1"/>
  <c r="O37" i="48"/>
  <c r="O31" s="1"/>
  <c r="R39"/>
  <c r="S42" l="1"/>
  <c r="R37"/>
  <c r="R31" s="1"/>
  <c r="S71" i="40"/>
  <c r="S72" s="1"/>
  <c r="S75" s="1"/>
  <c r="D49"/>
  <c r="D52" s="1"/>
  <c r="S48"/>
  <c r="D71" l="1"/>
  <c r="D133" s="1"/>
  <c r="G71"/>
  <c r="M71"/>
  <c r="P71"/>
  <c r="N71"/>
  <c r="F71"/>
  <c r="K71"/>
  <c r="E71"/>
  <c r="I71"/>
  <c r="J71"/>
  <c r="H71"/>
  <c r="Q71"/>
  <c r="L71"/>
  <c r="O71"/>
  <c r="S49"/>
  <c r="S52" s="1"/>
  <c r="R71"/>
  <c r="S76" l="1"/>
  <c r="S29" i="38"/>
  <c r="D72" i="40"/>
  <c r="D75" s="1"/>
  <c r="D76" s="1"/>
  <c r="R133"/>
  <c r="R134" s="1"/>
  <c r="R141" s="1"/>
  <c r="R142" s="1"/>
  <c r="R72"/>
  <c r="R75" s="1"/>
  <c r="R76" s="1"/>
  <c r="Q133"/>
  <c r="Q134" s="1"/>
  <c r="Q141" s="1"/>
  <c r="Q142" s="1"/>
  <c r="Q72"/>
  <c r="Q75" s="1"/>
  <c r="Q76" s="1"/>
  <c r="E133"/>
  <c r="E134" s="1"/>
  <c r="E141" s="1"/>
  <c r="E142" s="1"/>
  <c r="E72"/>
  <c r="E75" s="1"/>
  <c r="E76" s="1"/>
  <c r="P133"/>
  <c r="P134" s="1"/>
  <c r="P141" s="1"/>
  <c r="P142" s="1"/>
  <c r="P72"/>
  <c r="P75" s="1"/>
  <c r="P76" s="1"/>
  <c r="L133"/>
  <c r="L134" s="1"/>
  <c r="L141" s="1"/>
  <c r="L142" s="1"/>
  <c r="L72"/>
  <c r="L75" s="1"/>
  <c r="L76" s="1"/>
  <c r="H133"/>
  <c r="H134" s="1"/>
  <c r="H141" s="1"/>
  <c r="H142" s="1"/>
  <c r="H72"/>
  <c r="H75" s="1"/>
  <c r="H76" s="1"/>
  <c r="I133"/>
  <c r="I134" s="1"/>
  <c r="I141" s="1"/>
  <c r="I142" s="1"/>
  <c r="I72"/>
  <c r="I75" s="1"/>
  <c r="I76" s="1"/>
  <c r="K133"/>
  <c r="K134" s="1"/>
  <c r="K141" s="1"/>
  <c r="K142" s="1"/>
  <c r="K72"/>
  <c r="K75" s="1"/>
  <c r="K76" s="1"/>
  <c r="N133"/>
  <c r="N134" s="1"/>
  <c r="N141" s="1"/>
  <c r="N142" s="1"/>
  <c r="N72"/>
  <c r="N75" s="1"/>
  <c r="N76" s="1"/>
  <c r="M133"/>
  <c r="M134" s="1"/>
  <c r="M141" s="1"/>
  <c r="M142" s="1"/>
  <c r="M72"/>
  <c r="M75" s="1"/>
  <c r="M76" s="1"/>
  <c r="D134"/>
  <c r="D141" s="1"/>
  <c r="D142" s="1"/>
  <c r="O133"/>
  <c r="O134" s="1"/>
  <c r="O141" s="1"/>
  <c r="O142" s="1"/>
  <c r="O72"/>
  <c r="O75" s="1"/>
  <c r="O76" s="1"/>
  <c r="J133"/>
  <c r="J134" s="1"/>
  <c r="J141" s="1"/>
  <c r="J142" s="1"/>
  <c r="J72"/>
  <c r="J75" s="1"/>
  <c r="J76" s="1"/>
  <c r="F133"/>
  <c r="F134" s="1"/>
  <c r="F141" s="1"/>
  <c r="F142" s="1"/>
  <c r="F72"/>
  <c r="F75" s="1"/>
  <c r="F76" s="1"/>
  <c r="G133"/>
  <c r="G134" s="1"/>
  <c r="G141" s="1"/>
  <c r="G142" s="1"/>
  <c r="G72"/>
  <c r="G75" s="1"/>
  <c r="G76" s="1"/>
  <c r="V17" i="38" l="1"/>
  <c r="S133" i="40"/>
  <c r="S134" s="1"/>
  <c r="S141" s="1"/>
  <c r="S142" s="1"/>
</calcChain>
</file>

<file path=xl/comments1.xml><?xml version="1.0" encoding="utf-8"?>
<comments xmlns="http://schemas.openxmlformats.org/spreadsheetml/2006/main">
  <authors>
    <author>umiwwr02</author>
  </authors>
  <commentLis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umiwwr02:</t>
        </r>
        <r>
          <rPr>
            <sz val="9"/>
            <color indexed="81"/>
            <rFont val="Tahoma"/>
            <family val="2"/>
            <charset val="238"/>
          </rPr>
          <t xml:space="preserve">
Skąd ta wartość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umiwwr02:</t>
        </r>
        <r>
          <rPr>
            <sz val="9"/>
            <color indexed="81"/>
            <rFont val="Tahoma"/>
            <family val="2"/>
            <charset val="238"/>
          </rPr>
          <t xml:space="preserve">
Skąd ta wartość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38"/>
          </rPr>
          <t>umiwwr02:</t>
        </r>
        <r>
          <rPr>
            <sz val="9"/>
            <color indexed="81"/>
            <rFont val="Tahoma"/>
            <family val="2"/>
            <charset val="238"/>
          </rPr>
          <t xml:space="preserve">
Skąd ta wartość</t>
        </r>
      </text>
    </comment>
  </commentList>
</comments>
</file>

<file path=xl/sharedStrings.xml><?xml version="1.0" encoding="utf-8"?>
<sst xmlns="http://schemas.openxmlformats.org/spreadsheetml/2006/main" count="1641" uniqueCount="371">
  <si>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</si>
  <si>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</si>
  <si>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</si>
  <si>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</si>
  <si>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</si>
  <si>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</si>
  <si>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</si>
  <si>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</si>
  <si>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</si>
  <si>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</si>
  <si>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</si>
  <si>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</si>
  <si>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</si>
  <si>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</si>
  <si>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</si>
  <si>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</si>
  <si>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</si>
  <si>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</si>
  <si>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</si>
  <si>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</si>
  <si>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</si>
  <si>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</si>
  <si>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</si>
  <si>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</si>
  <si>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</si>
  <si>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</si>
  <si>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</si>
  <si>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</si>
  <si>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</si>
  <si>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</si>
  <si>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</si>
  <si>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</si>
  <si>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</si>
  <si>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</si>
  <si>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</si>
  <si>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</si>
  <si>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</si>
  <si>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</si>
  <si>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</si>
  <si>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</si>
  <si>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</si>
  <si>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</si>
  <si>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</si>
  <si>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</si>
  <si>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</si>
  <si>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</si>
  <si>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</si>
  <si>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</si>
  <si>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</si>
  <si>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</si>
  <si>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</si>
  <si>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</si>
  <si>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</si>
  <si>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</si>
  <si>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</si>
  <si>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</si>
  <si>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</si>
  <si>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</si>
  <si>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</si>
  <si>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</si>
  <si>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</si>
  <si>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</si>
  <si>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</si>
  <si>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</si>
  <si>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</si>
  <si>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</si>
  <si>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</si>
  <si>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</si>
  <si>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</si>
  <si>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</si>
  <si>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</si>
  <si>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</si>
  <si>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</si>
  <si>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</si>
  <si>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</si>
  <si>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</si>
  <si>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</si>
  <si>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</si>
  <si>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</si>
  <si>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</si>
  <si>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</si>
  <si>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</si>
  <si>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</si>
  <si>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</si>
  <si>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</si>
  <si>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</si>
  <si>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</si>
  <si>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</si>
  <si>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</si>
  <si>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</si>
  <si>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</si>
  <si>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</si>
  <si>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</si>
  <si>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</si>
  <si>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</si>
  <si>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</si>
  <si>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</si>
  <si>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</si>
  <si>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</si>
  <si>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</si>
  <si>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</si>
  <si>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</si>
  <si>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</si>
  <si>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</si>
  <si>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</si>
  <si>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</si>
  <si>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</si>
  <si>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</si>
  <si>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</si>
  <si>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</si>
  <si>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</si>
  <si>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</si>
  <si>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</si>
  <si>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</si>
  <si>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</si>
  <si>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</si>
  <si>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</si>
  <si>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</si>
  <si>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</si>
  <si>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</si>
  <si>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</si>
  <si>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</si>
  <si>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</si>
  <si>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</si>
  <si>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</si>
  <si>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</si>
  <si>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</si>
  <si>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</si>
  <si>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</si>
  <si>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</si>
  <si>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</si>
  <si>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</si>
  <si>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</si>
  <si>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</si>
  <si>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</si>
  <si>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</si>
  <si>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</si>
  <si>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</si>
  <si>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</si>
  <si>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</si>
  <si>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</si>
  <si>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</si>
  <si>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</si>
  <si>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</si>
  <si>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</si>
  <si>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</si>
  <si>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</si>
  <si>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</si>
  <si>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</si>
  <si>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</si>
  <si>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</si>
  <si>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</si>
  <si>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</si>
  <si>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</si>
  <si>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</si>
  <si>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</si>
  <si>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</si>
  <si>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</si>
  <si>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</si>
  <si>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</si>
  <si>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</si>
  <si>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</si>
  <si>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</si>
  <si>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</si>
  <si>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</si>
  <si>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</si>
  <si>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</si>
  <si>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</si>
  <si>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</si>
  <si>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</si>
  <si>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</si>
  <si>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</si>
  <si>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</si>
  <si>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</si>
  <si>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</si>
  <si>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</si>
  <si>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</si>
  <si>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</si>
  <si>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</si>
  <si>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</si>
  <si>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</si>
  <si>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</si>
  <si>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</si>
  <si>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</si>
  <si>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</si>
  <si>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</si>
  <si>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</si>
  <si>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</si>
  <si>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</si>
  <si>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</si>
  <si>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</si>
  <si>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</si>
  <si>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</si>
  <si>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</si>
  <si>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</si>
  <si>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</si>
  <si>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</si>
  <si>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</si>
  <si>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</si>
  <si>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</si>
  <si>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</si>
  <si>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</si>
  <si>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</si>
  <si>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</si>
  <si>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</si>
  <si>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</si>
  <si>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Punkt pomiarowy</t>
  </si>
  <si>
    <t>2287 WROCŁAW - JELCZ LASKOWICE</t>
  </si>
  <si>
    <t>2257 WROCŁAW - WOJKOWICE</t>
  </si>
  <si>
    <t>2146 KĄTY WROCŁAWSKIE - WROCŁAW</t>
  </si>
  <si>
    <t>2110 WROCŁAW - MOKRONOS DLN.</t>
  </si>
  <si>
    <t>2093 WROCŁAW - SZEWCE</t>
  </si>
  <si>
    <t>2072 WROCŁAW - BRZEZINKA ŚREDZKA</t>
  </si>
  <si>
    <t>30904 TRZEBNICA-WROCŁAW</t>
  </si>
  <si>
    <t>30208 WROCŁAW-WĘZEŁ BIELANY WR</t>
  </si>
  <si>
    <t>30716 WROCŁAW-DŁUGOŁĘKA</t>
  </si>
  <si>
    <t>DANE O NATĘŻENIU RUCHU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</si>
  <si>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</si>
  <si>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</si>
  <si>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</si>
  <si>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</si>
  <si>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</si>
  <si>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</si>
  <si>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</si>
  <si>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</si>
  <si>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</si>
  <si>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</si>
  <si>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</si>
  <si>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</si>
  <si>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</si>
  <si>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</si>
  <si>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</si>
  <si>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</si>
  <si>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</si>
  <si>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</si>
  <si>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</si>
  <si>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</si>
  <si>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</si>
  <si>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</si>
  <si>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</si>
  <si>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</si>
  <si>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</si>
  <si>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</si>
  <si>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</si>
  <si>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</si>
  <si>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</si>
  <si>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</si>
  <si>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</si>
  <si>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</si>
  <si>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</si>
  <si>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</si>
  <si>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</si>
  <si>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</si>
  <si>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</si>
  <si>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</si>
  <si>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</si>
  <si>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</si>
  <si>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</si>
  <si>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</si>
  <si>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</si>
  <si>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</si>
  <si>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</si>
  <si>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</si>
  <si>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</si>
  <si>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</si>
  <si>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</si>
  <si>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</si>
  <si>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</si>
  <si>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</si>
  <si>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</si>
  <si>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</si>
  <si>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</si>
  <si>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</si>
  <si>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</si>
  <si>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</si>
  <si>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</si>
  <si>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</si>
  <si>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</si>
  <si>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</si>
  <si>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</si>
  <si>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</si>
  <si>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</si>
  <si>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</si>
  <si>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</si>
  <si>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</si>
  <si>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</si>
  <si>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</si>
  <si>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</si>
  <si>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</si>
  <si>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</si>
  <si>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</si>
  <si>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</si>
  <si>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</si>
  <si>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</si>
  <si>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</si>
  <si>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</si>
  <si>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</si>
  <si>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</si>
  <si>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</si>
  <si>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</si>
  <si>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</si>
  <si>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</si>
  <si>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</si>
  <si>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</si>
  <si>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</si>
  <si>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</si>
  <si>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</si>
  <si>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</si>
  <si>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</si>
  <si>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</si>
  <si>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</si>
  <si>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</si>
  <si>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</si>
  <si>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</si>
  <si>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</si>
  <si>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</si>
  <si>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</si>
  <si>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</si>
  <si>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</si>
  <si>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</si>
  <si>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</si>
  <si>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</si>
  <si>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</si>
  <si>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</si>
  <si>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</si>
  <si>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</si>
  <si>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</si>
  <si>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</si>
  <si>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</si>
  <si>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</si>
  <si>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</si>
  <si>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</si>
  <si>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</si>
  <si>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</si>
  <si>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</si>
  <si>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</si>
  <si>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</si>
  <si>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</si>
  <si>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</si>
  <si>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</si>
  <si>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scope 1</t>
  </si>
  <si>
    <t>scope 2</t>
  </si>
  <si>
    <t>NE</t>
  </si>
  <si>
    <t>IE</t>
  </si>
  <si>
    <t>dodana suma dla cdp</t>
  </si>
  <si>
    <t>przygotowanie arkusza 2014, dodanie pomocniczych kalkulatorów</t>
  </si>
  <si>
    <t>SCOPE</t>
  </si>
  <si>
    <t>EMISSION SUM by</t>
  </si>
  <si>
    <t>Zużycie paliw, scope 1 &amp; 2</t>
  </si>
  <si>
    <t>Wzrost PKB</t>
  </si>
  <si>
    <t>Wskaźnik elastyczności GDDKiA</t>
  </si>
  <si>
    <t>OBLICZENIE NATĘŻENIA RUCHU DLA AKTUALNEGO ROKU WG POMIARÓW DLA ROKU:</t>
  </si>
  <si>
    <t>Pojazdy
samochod.
Ogółem - rok inwentaryzacji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</si>
  <si>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</si>
  <si>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</si>
  <si>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</si>
  <si>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</si>
  <si>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</si>
  <si>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</si>
  <si>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udział OZE</t>
  </si>
  <si>
    <t>Transport lotniczy</t>
  </si>
  <si>
    <t>System dystrybucji gazu</t>
  </si>
  <si>
    <t>Paliwo lotnicze</t>
  </si>
  <si>
    <t>Redukcja emisji w stosunku do roku bazowego</t>
  </si>
  <si>
    <t>Zakres 1</t>
  </si>
  <si>
    <t>Zakres 2</t>
  </si>
  <si>
    <t>Zakres 3</t>
  </si>
  <si>
    <t>Procesy przemysłowe i użytkowanie produktów</t>
  </si>
  <si>
    <t>Rolnicwo, leśnictwo i użytkowanie ziemi</t>
  </si>
  <si>
    <t>Poziom raportowania BASIC</t>
  </si>
  <si>
    <t>Podsumowanie inwantaryzacji 2015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</si>
</sst>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0.0000"/>
    <numFmt numFmtId="167" formatCode="#,##0.0000"/>
    <numFmt numFmtId="168" formatCode="#,##0.000000"/>
    <numFmt numFmtId="169" formatCode="#,##0.0000000"/>
    <numFmt numFmtId="170" formatCode="#,##0.00000000"/>
  </numFmts>
  <fonts count="54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0"/>
      <name val="Times New Roman CE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" fontId="4" fillId="0" borderId="0"/>
    <xf numFmtId="0" fontId="17" fillId="0" borderId="0"/>
    <xf numFmtId="0" fontId="18" fillId="0" borderId="0"/>
    <xf numFmtId="9" fontId="16" fillId="0" borderId="0" applyFont="0" applyFill="0" applyBorder="0" applyAlignment="0" applyProtection="0"/>
    <xf numFmtId="0" fontId="48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2" fillId="20" borderId="0" applyNumberFormat="0" applyBorder="0" applyAlignment="0" applyProtection="0"/>
    <xf numFmtId="0" fontId="48" fillId="0" borderId="0"/>
    <xf numFmtId="0" fontId="53" fillId="0" borderId="0" applyBorder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1" fillId="20" borderId="0" applyNumberFormat="0" applyBorder="0" applyAlignment="0" applyProtection="0"/>
  </cellStyleXfs>
  <cellXfs count="626">
    <xf numFmtId="0" fontId="0" fillId="0" borderId="0" xfId="0"/>
    <xf numFmtId="0" fontId="19" fillId="2" borderId="0" xfId="0" applyFont="1" applyFill="1" applyBorder="1"/>
    <xf numFmtId="0" fontId="19" fillId="2" borderId="0" xfId="0" applyFont="1" applyFill="1"/>
    <xf numFmtId="0" fontId="0" fillId="2" borderId="0" xfId="0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19" fillId="2" borderId="1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9" fillId="2" borderId="62" xfId="0" applyFont="1" applyFill="1" applyBorder="1"/>
    <xf numFmtId="0" fontId="19" fillId="2" borderId="63" xfId="0" applyFont="1" applyFill="1" applyBorder="1"/>
    <xf numFmtId="0" fontId="21" fillId="2" borderId="0" xfId="0" applyFont="1" applyFill="1" applyBorder="1"/>
    <xf numFmtId="0" fontId="19" fillId="2" borderId="0" xfId="0" applyFont="1" applyFill="1" applyAlignment="1">
      <alignment wrapText="1"/>
    </xf>
    <xf numFmtId="0" fontId="19" fillId="2" borderId="64" xfId="0" applyFont="1" applyFill="1" applyBorder="1"/>
    <xf numFmtId="0" fontId="19" fillId="3" borderId="4" xfId="0" applyFont="1" applyFill="1" applyBorder="1"/>
    <xf numFmtId="0" fontId="21" fillId="3" borderId="5" xfId="0" applyFont="1" applyFill="1" applyBorder="1"/>
    <xf numFmtId="0" fontId="19" fillId="3" borderId="68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19" fillId="2" borderId="72" xfId="0" applyFont="1" applyFill="1" applyBorder="1"/>
    <xf numFmtId="0" fontId="21" fillId="2" borderId="0" xfId="0" applyFont="1" applyFill="1" applyAlignment="1">
      <alignment vertical="center" wrapText="1"/>
    </xf>
    <xf numFmtId="0" fontId="23" fillId="4" borderId="6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vertical="center" wrapText="1"/>
    </xf>
    <xf numFmtId="0" fontId="23" fillId="4" borderId="74" xfId="0" applyFont="1" applyFill="1" applyBorder="1" applyAlignment="1">
      <alignment horizontal="center" vertical="center" wrapText="1"/>
    </xf>
    <xf numFmtId="0" fontId="23" fillId="4" borderId="75" xfId="0" applyFont="1" applyFill="1" applyBorder="1" applyAlignment="1">
      <alignment horizontal="center" vertical="center" wrapText="1"/>
    </xf>
    <xf numFmtId="0" fontId="23" fillId="4" borderId="76" xfId="0" applyFont="1" applyFill="1" applyBorder="1" applyAlignment="1">
      <alignment horizontal="center" vertical="center" wrapText="1"/>
    </xf>
    <xf numFmtId="0" fontId="24" fillId="4" borderId="77" xfId="0" applyFont="1" applyFill="1" applyBorder="1" applyAlignment="1">
      <alignment horizontal="center" wrapText="1"/>
    </xf>
    <xf numFmtId="0" fontId="23" fillId="4" borderId="0" xfId="0" applyFont="1" applyFill="1" applyBorder="1" applyAlignment="1">
      <alignment wrapText="1"/>
    </xf>
    <xf numFmtId="0" fontId="24" fillId="4" borderId="78" xfId="0" applyFont="1" applyFill="1" applyBorder="1" applyAlignment="1">
      <alignment horizontal="center" wrapText="1"/>
    </xf>
    <xf numFmtId="164" fontId="25" fillId="3" borderId="69" xfId="1" applyNumberFormat="1" applyFont="1" applyFill="1" applyBorder="1"/>
    <xf numFmtId="164" fontId="25" fillId="3" borderId="70" xfId="1" applyNumberFormat="1" applyFont="1" applyFill="1" applyBorder="1"/>
    <xf numFmtId="164" fontId="25" fillId="2" borderId="0" xfId="1" applyNumberFormat="1" applyFont="1" applyFill="1"/>
    <xf numFmtId="164" fontId="25" fillId="3" borderId="71" xfId="1" applyNumberFormat="1" applyFont="1" applyFill="1" applyBorder="1"/>
    <xf numFmtId="164" fontId="25" fillId="2" borderId="64" xfId="1" applyNumberFormat="1" applyFont="1" applyFill="1" applyBorder="1"/>
    <xf numFmtId="164" fontId="25" fillId="2" borderId="65" xfId="1" applyNumberFormat="1" applyFont="1" applyFill="1" applyBorder="1"/>
    <xf numFmtId="164" fontId="25" fillId="2" borderId="72" xfId="1" applyNumberFormat="1" applyFont="1" applyFill="1" applyBorder="1"/>
    <xf numFmtId="164" fontId="25" fillId="2" borderId="66" xfId="1" applyNumberFormat="1" applyFont="1" applyFill="1" applyBorder="1"/>
    <xf numFmtId="164" fontId="25" fillId="2" borderId="67" xfId="1" applyNumberFormat="1" applyFont="1" applyFill="1" applyBorder="1"/>
    <xf numFmtId="164" fontId="25" fillId="2" borderId="73" xfId="1" applyNumberFormat="1" applyFont="1" applyFill="1" applyBorder="1"/>
    <xf numFmtId="164" fontId="25" fillId="3" borderId="64" xfId="1" applyNumberFormat="1" applyFont="1" applyFill="1" applyBorder="1"/>
    <xf numFmtId="164" fontId="25" fillId="3" borderId="65" xfId="1" applyNumberFormat="1" applyFont="1" applyFill="1" applyBorder="1"/>
    <xf numFmtId="164" fontId="25" fillId="3" borderId="72" xfId="1" applyNumberFormat="1" applyFont="1" applyFill="1" applyBorder="1"/>
    <xf numFmtId="0" fontId="0" fillId="2" borderId="0" xfId="0" applyFill="1" applyBorder="1"/>
    <xf numFmtId="164" fontId="19" fillId="2" borderId="0" xfId="0" applyNumberFormat="1" applyFont="1" applyFill="1"/>
    <xf numFmtId="164" fontId="25" fillId="2" borderId="0" xfId="0" applyNumberFormat="1" applyFont="1" applyFill="1"/>
    <xf numFmtId="164" fontId="21" fillId="5" borderId="9" xfId="0" applyNumberFormat="1" applyFont="1" applyFill="1" applyBorder="1"/>
    <xf numFmtId="0" fontId="23" fillId="4" borderId="10" xfId="0" applyFont="1" applyFill="1" applyBorder="1" applyAlignment="1">
      <alignment horizontal="center" vertical="center" wrapText="1"/>
    </xf>
    <xf numFmtId="0" fontId="21" fillId="2" borderId="6" xfId="0" applyFont="1" applyFill="1" applyBorder="1"/>
    <xf numFmtId="10" fontId="16" fillId="0" borderId="11" xfId="8" applyNumberFormat="1" applyFont="1" applyBorder="1"/>
    <xf numFmtId="164" fontId="22" fillId="0" borderId="6" xfId="0" applyNumberFormat="1" applyFont="1" applyBorder="1"/>
    <xf numFmtId="165" fontId="16" fillId="0" borderId="11" xfId="8" applyNumberFormat="1" applyFont="1" applyBorder="1"/>
    <xf numFmtId="165" fontId="16" fillId="0" borderId="14" xfId="8" applyNumberFormat="1" applyFont="1" applyBorder="1"/>
    <xf numFmtId="0" fontId="23" fillId="4" borderId="18" xfId="0" applyFont="1" applyFill="1" applyBorder="1" applyAlignment="1">
      <alignment horizontal="center" vertical="center" wrapText="1"/>
    </xf>
    <xf numFmtId="0" fontId="21" fillId="2" borderId="19" xfId="0" applyFont="1" applyFill="1" applyBorder="1"/>
    <xf numFmtId="0" fontId="21" fillId="2" borderId="21" xfId="0" applyFont="1" applyFill="1" applyBorder="1"/>
    <xf numFmtId="164" fontId="25" fillId="3" borderId="79" xfId="1" applyNumberFormat="1" applyFont="1" applyFill="1" applyBorder="1"/>
    <xf numFmtId="164" fontId="25" fillId="3" borderId="80" xfId="1" applyNumberFormat="1" applyFont="1" applyFill="1" applyBorder="1"/>
    <xf numFmtId="164" fontId="25" fillId="2" borderId="80" xfId="1" applyNumberFormat="1" applyFont="1" applyFill="1" applyBorder="1"/>
    <xf numFmtId="164" fontId="25" fillId="2" borderId="81" xfId="1" applyNumberFormat="1" applyFont="1" applyFill="1" applyBorder="1"/>
    <xf numFmtId="43" fontId="25" fillId="2" borderId="81" xfId="1" applyNumberFormat="1" applyFont="1" applyFill="1" applyBorder="1"/>
    <xf numFmtId="43" fontId="25" fillId="2" borderId="82" xfId="1" applyNumberFormat="1" applyFont="1" applyFill="1" applyBorder="1"/>
    <xf numFmtId="0" fontId="0" fillId="2" borderId="11" xfId="0" applyFill="1" applyBorder="1"/>
    <xf numFmtId="43" fontId="25" fillId="2" borderId="83" xfId="1" applyNumberFormat="1" applyFont="1" applyFill="1" applyBorder="1"/>
    <xf numFmtId="43" fontId="25" fillId="3" borderId="84" xfId="1" applyNumberFormat="1" applyFont="1" applyFill="1" applyBorder="1"/>
    <xf numFmtId="43" fontId="25" fillId="3" borderId="85" xfId="1" applyNumberFormat="1" applyFont="1" applyFill="1" applyBorder="1"/>
    <xf numFmtId="43" fontId="25" fillId="3" borderId="83" xfId="1" applyNumberFormat="1" applyFont="1" applyFill="1" applyBorder="1"/>
    <xf numFmtId="43" fontId="25" fillId="3" borderId="86" xfId="1" applyNumberFormat="1" applyFont="1" applyFill="1" applyBorder="1"/>
    <xf numFmtId="43" fontId="25" fillId="2" borderId="86" xfId="1" applyNumberFormat="1" applyFont="1" applyFill="1" applyBorder="1"/>
    <xf numFmtId="43" fontId="25" fillId="2" borderId="87" xfId="1" applyNumberFormat="1" applyFont="1" applyFill="1" applyBorder="1"/>
    <xf numFmtId="2" fontId="0" fillId="2" borderId="0" xfId="0" applyNumberFormat="1" applyFill="1"/>
    <xf numFmtId="0" fontId="0" fillId="0" borderId="0" xfId="0"/>
    <xf numFmtId="164" fontId="25" fillId="0" borderId="80" xfId="1" applyNumberFormat="1" applyFont="1" applyFill="1" applyBorder="1"/>
    <xf numFmtId="43" fontId="25" fillId="0" borderId="83" xfId="1" applyNumberFormat="1" applyFont="1" applyFill="1" applyBorder="1"/>
    <xf numFmtId="43" fontId="25" fillId="0" borderId="86" xfId="1" applyNumberFormat="1" applyFont="1" applyFill="1" applyBorder="1"/>
    <xf numFmtId="164" fontId="25" fillId="0" borderId="81" xfId="1" applyNumberFormat="1" applyFont="1" applyFill="1" applyBorder="1"/>
    <xf numFmtId="43" fontId="25" fillId="0" borderId="82" xfId="1" applyNumberFormat="1" applyFont="1" applyFill="1" applyBorder="1"/>
    <xf numFmtId="43" fontId="25" fillId="0" borderId="87" xfId="1" applyNumberFormat="1" applyFont="1" applyFill="1" applyBorder="1"/>
    <xf numFmtId="0" fontId="23" fillId="4" borderId="9" xfId="0" applyFont="1" applyFill="1" applyBorder="1" applyAlignment="1">
      <alignment horizontal="center" vertical="center" wrapText="1"/>
    </xf>
    <xf numFmtId="164" fontId="25" fillId="0" borderId="66" xfId="1" applyNumberFormat="1" applyFont="1" applyFill="1" applyBorder="1"/>
    <xf numFmtId="164" fontId="25" fillId="0" borderId="64" xfId="1" applyNumberFormat="1" applyFont="1" applyFill="1" applyBorder="1"/>
    <xf numFmtId="164" fontId="25" fillId="0" borderId="72" xfId="1" applyNumberFormat="1" applyFont="1" applyFill="1" applyBorder="1"/>
    <xf numFmtId="164" fontId="25" fillId="0" borderId="73" xfId="1" applyNumberFormat="1" applyFont="1" applyFill="1" applyBorder="1"/>
    <xf numFmtId="0" fontId="23" fillId="4" borderId="8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1" fillId="2" borderId="4" xfId="0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0" fillId="2" borderId="2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3" borderId="28" xfId="0" applyFill="1" applyBorder="1"/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wrapText="1"/>
    </xf>
    <xf numFmtId="0" fontId="23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1" fillId="3" borderId="64" xfId="0" applyFont="1" applyFill="1" applyBorder="1"/>
    <xf numFmtId="0" fontId="19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3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3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14" xfId="0" applyFill="1" applyBorder="1"/>
    <xf numFmtId="0" fontId="0" fillId="2" borderId="24" xfId="0" applyFill="1" applyBorder="1"/>
    <xf numFmtId="0" fontId="27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19" xfId="0" applyFill="1" applyBorder="1"/>
    <xf numFmtId="0" fontId="0" fillId="2" borderId="39" xfId="0" applyFill="1" applyBorder="1"/>
    <xf numFmtId="0" fontId="24" fillId="4" borderId="99" xfId="0" applyFont="1" applyFill="1" applyBorder="1" applyAlignment="1">
      <alignment horizontal="center" wrapText="1"/>
    </xf>
    <xf numFmtId="0" fontId="24" fillId="4" borderId="34" xfId="0" applyFont="1" applyFill="1" applyBorder="1" applyAlignment="1">
      <alignment horizontal="center" wrapText="1"/>
    </xf>
    <xf numFmtId="0" fontId="23" fillId="4" borderId="45" xfId="0" applyFont="1" applyFill="1" applyBorder="1" applyAlignment="1">
      <alignment wrapText="1"/>
    </xf>
    <xf numFmtId="0" fontId="19" fillId="3" borderId="93" xfId="0" applyFont="1" applyFill="1" applyBorder="1"/>
    <xf numFmtId="0" fontId="19" fillId="2" borderId="91" xfId="0" applyFont="1" applyFill="1" applyBorder="1"/>
    <xf numFmtId="0" fontId="19" fillId="2" borderId="92" xfId="0" applyFont="1" applyFill="1" applyBorder="1"/>
    <xf numFmtId="0" fontId="20" fillId="2" borderId="62" xfId="0" applyFont="1" applyFill="1" applyBorder="1"/>
    <xf numFmtId="0" fontId="19" fillId="2" borderId="0" xfId="0" applyFont="1" applyFill="1" applyAlignment="1">
      <alignment horizontal="center"/>
    </xf>
    <xf numFmtId="0" fontId="23" fillId="4" borderId="0" xfId="0" applyFont="1" applyFill="1" applyBorder="1" applyAlignment="1">
      <alignment horizontal="center" wrapText="1"/>
    </xf>
    <xf numFmtId="0" fontId="23" fillId="4" borderId="7" xfId="0" applyFont="1" applyFill="1" applyBorder="1" applyAlignment="1">
      <alignment vertical="center" textRotation="90" wrapText="1"/>
    </xf>
    <xf numFmtId="0" fontId="23" fillId="4" borderId="46" xfId="0" applyFont="1" applyFill="1" applyBorder="1" applyAlignment="1">
      <alignment horizontal="center" vertical="center" textRotation="90" wrapText="1"/>
    </xf>
    <xf numFmtId="0" fontId="23" fillId="4" borderId="17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wrapText="1"/>
    </xf>
    <xf numFmtId="0" fontId="23" fillId="4" borderId="6" xfId="0" applyFont="1" applyFill="1" applyBorder="1" applyAlignment="1">
      <alignment horizontal="center" vertical="center" textRotation="90" wrapText="1"/>
    </xf>
    <xf numFmtId="0" fontId="21" fillId="3" borderId="62" xfId="0" applyFont="1" applyFill="1" applyBorder="1"/>
    <xf numFmtId="0" fontId="19" fillId="3" borderId="91" xfId="0" applyFont="1" applyFill="1" applyBorder="1"/>
    <xf numFmtId="0" fontId="19" fillId="3" borderId="62" xfId="0" applyFont="1" applyFill="1" applyBorder="1"/>
    <xf numFmtId="0" fontId="19" fillId="3" borderId="100" xfId="0" applyFont="1" applyFill="1" applyBorder="1"/>
    <xf numFmtId="0" fontId="19" fillId="3" borderId="68" xfId="0" applyFont="1" applyFill="1" applyBorder="1" applyAlignment="1">
      <alignment horizontal="center"/>
    </xf>
    <xf numFmtId="0" fontId="21" fillId="3" borderId="68" xfId="0" applyFont="1" applyFill="1" applyBorder="1"/>
    <xf numFmtId="43" fontId="25" fillId="3" borderId="101" xfId="1" applyNumberFormat="1" applyFont="1" applyFill="1" applyBorder="1"/>
    <xf numFmtId="0" fontId="19" fillId="3" borderId="96" xfId="0" applyFont="1" applyFill="1" applyBorder="1"/>
    <xf numFmtId="0" fontId="19" fillId="3" borderId="62" xfId="0" applyFont="1" applyFill="1" applyBorder="1" applyAlignment="1">
      <alignment horizontal="center"/>
    </xf>
    <xf numFmtId="43" fontId="25" fillId="3" borderId="94" xfId="1" applyNumberFormat="1" applyFont="1" applyFill="1" applyBorder="1"/>
    <xf numFmtId="0" fontId="19" fillId="2" borderId="96" xfId="0" applyFont="1" applyFill="1" applyBorder="1"/>
    <xf numFmtId="0" fontId="19" fillId="2" borderId="62" xfId="0" applyFont="1" applyFill="1" applyBorder="1" applyAlignment="1">
      <alignment horizontal="center"/>
    </xf>
    <xf numFmtId="43" fontId="25" fillId="2" borderId="94" xfId="1" applyNumberFormat="1" applyFont="1" applyFill="1" applyBorder="1"/>
    <xf numFmtId="43" fontId="25" fillId="0" borderId="94" xfId="1" applyNumberFormat="1" applyFont="1" applyFill="1" applyBorder="1"/>
    <xf numFmtId="0" fontId="19" fillId="2" borderId="97" xfId="0" applyFont="1" applyFill="1" applyBorder="1"/>
    <xf numFmtId="0" fontId="19" fillId="2" borderId="63" xfId="0" applyFont="1" applyFill="1" applyBorder="1" applyAlignment="1">
      <alignment horizontal="center"/>
    </xf>
    <xf numFmtId="43" fontId="25" fillId="0" borderId="95" xfId="1" applyNumberFormat="1" applyFont="1" applyFill="1" applyBorder="1"/>
    <xf numFmtId="43" fontId="25" fillId="2" borderId="80" xfId="1" applyNumberFormat="1" applyFont="1" applyFill="1" applyBorder="1"/>
    <xf numFmtId="43" fontId="25" fillId="3" borderId="69" xfId="1" applyNumberFormat="1" applyFont="1" applyFill="1" applyBorder="1"/>
    <xf numFmtId="43" fontId="25" fillId="3" borderId="64" xfId="1" applyNumberFormat="1" applyFont="1" applyFill="1" applyBorder="1"/>
    <xf numFmtId="43" fontId="25" fillId="2" borderId="64" xfId="1" applyNumberFormat="1" applyFont="1" applyFill="1" applyBorder="1"/>
    <xf numFmtId="43" fontId="25" fillId="0" borderId="64" xfId="1" applyNumberFormat="1" applyFont="1" applyFill="1" applyBorder="1"/>
    <xf numFmtId="43" fontId="25" fillId="2" borderId="66" xfId="1" applyNumberFormat="1" applyFont="1" applyFill="1" applyBorder="1"/>
    <xf numFmtId="43" fontId="25" fillId="3" borderId="70" xfId="1" applyNumberFormat="1" applyFont="1" applyFill="1" applyBorder="1"/>
    <xf numFmtId="43" fontId="25" fillId="3" borderId="65" xfId="1" applyNumberFormat="1" applyFont="1" applyFill="1" applyBorder="1"/>
    <xf numFmtId="43" fontId="25" fillId="2" borderId="65" xfId="1" applyNumberFormat="1" applyFont="1" applyFill="1" applyBorder="1"/>
    <xf numFmtId="43" fontId="25" fillId="2" borderId="72" xfId="1" applyNumberFormat="1" applyFont="1" applyFill="1" applyBorder="1"/>
    <xf numFmtId="43" fontId="25" fillId="0" borderId="65" xfId="1" applyNumberFormat="1" applyFont="1" applyFill="1" applyBorder="1"/>
    <xf numFmtId="43" fontId="25" fillId="2" borderId="67" xfId="1" applyNumberFormat="1" applyFont="1" applyFill="1" applyBorder="1"/>
    <xf numFmtId="43" fontId="25" fillId="3" borderId="88" xfId="1" applyNumberFormat="1" applyFont="1" applyFill="1" applyBorder="1"/>
    <xf numFmtId="43" fontId="25" fillId="3" borderId="89" xfId="1" applyNumberFormat="1" applyFont="1" applyFill="1" applyBorder="1"/>
    <xf numFmtId="43" fontId="25" fillId="2" borderId="89" xfId="1" applyNumberFormat="1" applyFont="1" applyFill="1" applyBorder="1"/>
    <xf numFmtId="43" fontId="25" fillId="0" borderId="89" xfId="1" applyNumberFormat="1" applyFont="1" applyFill="1" applyBorder="1"/>
    <xf numFmtId="43" fontId="25" fillId="2" borderId="90" xfId="1" applyNumberFormat="1" applyFont="1" applyFill="1" applyBorder="1"/>
    <xf numFmtId="0" fontId="24" fillId="4" borderId="4" xfId="0" applyFont="1" applyFill="1" applyBorder="1" applyAlignment="1">
      <alignment horizontal="center" wrapText="1"/>
    </xf>
    <xf numFmtId="0" fontId="24" fillId="4" borderId="98" xfId="0" applyFont="1" applyFill="1" applyBorder="1" applyAlignment="1">
      <alignment horizontal="center" wrapText="1"/>
    </xf>
    <xf numFmtId="43" fontId="25" fillId="3" borderId="71" xfId="1" applyNumberFormat="1" applyFont="1" applyFill="1" applyBorder="1"/>
    <xf numFmtId="43" fontId="25" fillId="3" borderId="72" xfId="1" applyNumberFormat="1" applyFont="1" applyFill="1" applyBorder="1"/>
    <xf numFmtId="43" fontId="25" fillId="0" borderId="72" xfId="1" applyNumberFormat="1" applyFont="1" applyFill="1" applyBorder="1"/>
    <xf numFmtId="43" fontId="25" fillId="2" borderId="73" xfId="1" applyNumberFormat="1" applyFont="1" applyFill="1" applyBorder="1"/>
    <xf numFmtId="0" fontId="24" fillId="4" borderId="35" xfId="0" applyFont="1" applyFill="1" applyBorder="1" applyAlignment="1">
      <alignment horizontal="center" wrapText="1"/>
    </xf>
    <xf numFmtId="0" fontId="20" fillId="2" borderId="96" xfId="0" applyFont="1" applyFill="1" applyBorder="1"/>
    <xf numFmtId="0" fontId="20" fillId="2" borderId="91" xfId="0" applyFont="1" applyFill="1" applyBorder="1"/>
    <xf numFmtId="164" fontId="31" fillId="2" borderId="72" xfId="1" applyNumberFormat="1" applyFont="1" applyFill="1" applyBorder="1"/>
    <xf numFmtId="43" fontId="31" fillId="2" borderId="64" xfId="1" applyNumberFormat="1" applyFont="1" applyFill="1" applyBorder="1"/>
    <xf numFmtId="43" fontId="31" fillId="2" borderId="89" xfId="1" applyNumberFormat="1" applyFont="1" applyFill="1" applyBorder="1"/>
    <xf numFmtId="43" fontId="31" fillId="2" borderId="72" xfId="1" applyNumberFormat="1" applyFont="1" applyFill="1" applyBorder="1"/>
    <xf numFmtId="43" fontId="31" fillId="2" borderId="65" xfId="1" applyNumberFormat="1" applyFont="1" applyFill="1" applyBorder="1"/>
    <xf numFmtId="164" fontId="31" fillId="2" borderId="80" xfId="1" applyNumberFormat="1" applyFont="1" applyFill="1" applyBorder="1"/>
    <xf numFmtId="43" fontId="31" fillId="2" borderId="86" xfId="1" applyNumberFormat="1" applyFont="1" applyFill="1" applyBorder="1"/>
    <xf numFmtId="43" fontId="31" fillId="2" borderId="94" xfId="1" applyNumberFormat="1" applyFont="1" applyFill="1" applyBorder="1"/>
    <xf numFmtId="0" fontId="22" fillId="6" borderId="102" xfId="0" applyFont="1" applyFill="1" applyBorder="1"/>
    <xf numFmtId="0" fontId="22" fillId="7" borderId="0" xfId="0" applyFont="1" applyFill="1" applyAlignment="1"/>
    <xf numFmtId="0" fontId="22" fillId="6" borderId="35" xfId="0" applyFont="1" applyFill="1" applyBorder="1" applyAlignment="1"/>
    <xf numFmtId="0" fontId="22" fillId="6" borderId="103" xfId="0" applyFont="1" applyFill="1" applyBorder="1"/>
    <xf numFmtId="0" fontId="22" fillId="6" borderId="45" xfId="0" applyFont="1" applyFill="1" applyBorder="1" applyAlignment="1"/>
    <xf numFmtId="0" fontId="22" fillId="6" borderId="4" xfId="0" applyFont="1" applyFill="1" applyBorder="1"/>
    <xf numFmtId="0" fontId="22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2" fillId="6" borderId="1" xfId="0" applyFont="1" applyFill="1" applyBorder="1" applyAlignment="1"/>
    <xf numFmtId="0" fontId="22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2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22" fillId="3" borderId="72" xfId="0" applyFont="1" applyFill="1" applyBorder="1"/>
    <xf numFmtId="0" fontId="22" fillId="3" borderId="64" xfId="0" applyFont="1" applyFill="1" applyBorder="1"/>
    <xf numFmtId="0" fontId="22" fillId="3" borderId="89" xfId="0" applyFont="1" applyFill="1" applyBorder="1"/>
    <xf numFmtId="0" fontId="22" fillId="3" borderId="91" xfId="0" applyFont="1" applyFill="1" applyBorder="1"/>
    <xf numFmtId="0" fontId="22" fillId="3" borderId="65" xfId="0" applyFon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2" fillId="6" borderId="40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 wrapText="1"/>
    </xf>
    <xf numFmtId="0" fontId="22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6" fillId="2" borderId="11" xfId="8" applyFont="1" applyFill="1" applyBorder="1"/>
    <xf numFmtId="9" fontId="16" fillId="2" borderId="0" xfId="8" applyFont="1" applyFill="1"/>
    <xf numFmtId="9" fontId="0" fillId="2" borderId="0" xfId="0" applyNumberFormat="1" applyFill="1"/>
    <xf numFmtId="10" fontId="16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21" xfId="0" applyFill="1" applyBorder="1"/>
    <xf numFmtId="0" fontId="0" fillId="2" borderId="6" xfId="0" applyFill="1" applyBorder="1"/>
    <xf numFmtId="9" fontId="16" fillId="2" borderId="15" xfId="8" applyFon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1" fontId="0" fillId="2" borderId="7" xfId="0" applyNumberFormat="1" applyFill="1" applyBorder="1"/>
    <xf numFmtId="0" fontId="0" fillId="2" borderId="17" xfId="0" applyFill="1" applyBorder="1"/>
    <xf numFmtId="0" fontId="22" fillId="6" borderId="102" xfId="0" applyFont="1" applyFill="1" applyBorder="1"/>
    <xf numFmtId="0" fontId="22" fillId="6" borderId="4" xfId="0" applyFont="1" applyFill="1" applyBorder="1"/>
    <xf numFmtId="0" fontId="22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2" fillId="6" borderId="1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3" fillId="2" borderId="0" xfId="0" applyFont="1" applyFill="1"/>
    <xf numFmtId="0" fontId="32" fillId="2" borderId="0" xfId="0" applyFont="1" applyFill="1" applyAlignment="1">
      <alignment wrapText="1"/>
    </xf>
    <xf numFmtId="164" fontId="29" fillId="0" borderId="11" xfId="0" applyNumberFormat="1" applyFont="1" applyBorder="1"/>
    <xf numFmtId="166" fontId="0" fillId="2" borderId="0" xfId="0" applyNumberFormat="1" applyFill="1"/>
    <xf numFmtId="0" fontId="0" fillId="0" borderId="0" xfId="0"/>
    <xf numFmtId="0" fontId="19" fillId="2" borderId="0" xfId="7" applyFont="1" applyFill="1"/>
    <xf numFmtId="0" fontId="34" fillId="2" borderId="0" xfId="7" applyFont="1" applyFill="1"/>
    <xf numFmtId="0" fontId="5" fillId="2" borderId="0" xfId="7" applyFont="1" applyFill="1" applyBorder="1" applyAlignment="1">
      <alignment vertical="top"/>
    </xf>
    <xf numFmtId="0" fontId="6" fillId="2" borderId="0" xfId="7" applyFont="1" applyFill="1" applyBorder="1" applyAlignment="1">
      <alignment horizontal="center"/>
    </xf>
    <xf numFmtId="0" fontId="5" fillId="2" borderId="0" xfId="7" applyFont="1" applyFill="1"/>
    <xf numFmtId="0" fontId="5" fillId="2" borderId="0" xfId="7" applyFont="1" applyFill="1" applyBorder="1" applyAlignment="1"/>
    <xf numFmtId="0" fontId="19" fillId="0" borderId="0" xfId="7" applyFont="1"/>
    <xf numFmtId="0" fontId="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5" fillId="2" borderId="0" xfId="7" applyFont="1" applyFill="1" applyAlignment="1">
      <alignment horizontal="left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5" fillId="2" borderId="0" xfId="7" applyFont="1" applyFill="1" applyBorder="1" applyAlignment="1" applyProtection="1">
      <alignment horizontal="left" vertical="center"/>
      <protection locked="0"/>
    </xf>
    <xf numFmtId="0" fontId="7" fillId="2" borderId="0" xfId="7" applyFont="1" applyFill="1" applyBorder="1" applyAlignment="1"/>
    <xf numFmtId="0" fontId="6" fillId="2" borderId="0" xfId="7" applyFont="1" applyFill="1" applyBorder="1" applyAlignment="1">
      <alignment vertical="top"/>
    </xf>
    <xf numFmtId="0" fontId="5" fillId="2" borderId="0" xfId="7" applyFont="1" applyFill="1" applyBorder="1" applyAlignment="1">
      <alignment vertical="center"/>
    </xf>
    <xf numFmtId="0" fontId="8" fillId="2" borderId="0" xfId="7" applyFont="1" applyFill="1" applyAlignment="1">
      <alignment wrapText="1"/>
    </xf>
    <xf numFmtId="0" fontId="9" fillId="2" borderId="0" xfId="7" applyFont="1" applyFill="1" applyBorder="1" applyAlignment="1">
      <alignment horizontal="left"/>
    </xf>
    <xf numFmtId="0" fontId="10" fillId="2" borderId="0" xfId="7" applyFont="1" applyFill="1" applyBorder="1" applyAlignment="1">
      <alignment horizontal="right"/>
    </xf>
    <xf numFmtId="0" fontId="10" fillId="2" borderId="0" xfId="7" applyFont="1" applyFill="1" applyBorder="1" applyAlignment="1"/>
    <xf numFmtId="0" fontId="35" fillId="2" borderId="0" xfId="7" applyFont="1" applyFill="1" applyBorder="1" applyAlignment="1">
      <alignment vertical="center"/>
    </xf>
    <xf numFmtId="0" fontId="36" fillId="2" borderId="0" xfId="7" applyFont="1" applyFill="1" applyAlignment="1">
      <alignment horizontal="justify" vertical="top"/>
    </xf>
    <xf numFmtId="0" fontId="36" fillId="2" borderId="0" xfId="7" applyFont="1" applyFill="1" applyBorder="1" applyAlignment="1">
      <alignment vertical="top"/>
    </xf>
    <xf numFmtId="0" fontId="6" fillId="2" borderId="0" xfId="7" applyFont="1" applyFill="1" applyAlignment="1"/>
    <xf numFmtId="0" fontId="6" fillId="2" borderId="0" xfId="7" applyFont="1" applyFill="1" applyAlignment="1">
      <alignment wrapText="1"/>
    </xf>
    <xf numFmtId="0" fontId="9" fillId="2" borderId="0" xfId="7" applyFont="1" applyFill="1" applyBorder="1" applyAlignment="1"/>
    <xf numFmtId="0" fontId="37" fillId="2" borderId="0" xfId="7" applyFont="1" applyFill="1" applyAlignment="1">
      <alignment horizontal="left" vertical="justify"/>
    </xf>
    <xf numFmtId="0" fontId="19" fillId="2" borderId="0" xfId="7" applyFont="1" applyFill="1" applyAlignment="1">
      <alignment horizontal="left" vertical="justify"/>
    </xf>
    <xf numFmtId="0" fontId="11" fillId="2" borderId="0" xfId="7" applyFont="1" applyFill="1" applyBorder="1" applyAlignment="1">
      <alignment horizontal="left" vertical="center" wrapText="1"/>
    </xf>
    <xf numFmtId="0" fontId="21" fillId="10" borderId="105" xfId="7" applyFont="1" applyFill="1" applyBorder="1" applyAlignment="1">
      <alignment horizontal="center" vertical="center" wrapText="1"/>
    </xf>
    <xf numFmtId="0" fontId="38" fillId="11" borderId="106" xfId="7" applyFont="1" applyFill="1" applyBorder="1" applyAlignment="1">
      <alignment vertical="top"/>
    </xf>
    <xf numFmtId="0" fontId="38" fillId="11" borderId="107" xfId="7" applyFont="1" applyFill="1" applyBorder="1" applyAlignment="1">
      <alignment vertical="top"/>
    </xf>
    <xf numFmtId="3" fontId="19" fillId="11" borderId="107" xfId="7" applyNumberFormat="1" applyFont="1" applyFill="1" applyBorder="1" applyAlignment="1">
      <alignment vertical="top"/>
    </xf>
    <xf numFmtId="3" fontId="19" fillId="11" borderId="108" xfId="7" applyNumberFormat="1" applyFont="1" applyFill="1" applyBorder="1" applyAlignment="1">
      <alignment vertical="top"/>
    </xf>
    <xf numFmtId="0" fontId="21" fillId="2" borderId="109" xfId="7" applyFont="1" applyFill="1" applyBorder="1" applyAlignment="1">
      <alignment vertical="top"/>
    </xf>
    <xf numFmtId="0" fontId="21" fillId="2" borderId="110" xfId="7" applyFont="1" applyFill="1" applyBorder="1" applyAlignment="1">
      <alignment vertical="top"/>
    </xf>
    <xf numFmtId="3" fontId="19" fillId="2" borderId="111" xfId="7" applyNumberFormat="1" applyFont="1" applyFill="1" applyBorder="1" applyAlignment="1">
      <alignment vertical="top" wrapText="1"/>
    </xf>
    <xf numFmtId="3" fontId="38" fillId="12" borderId="112" xfId="7" applyNumberFormat="1" applyFont="1" applyFill="1" applyBorder="1" applyAlignment="1">
      <alignment horizontal="center" vertical="top" wrapText="1"/>
    </xf>
    <xf numFmtId="0" fontId="21" fillId="2" borderId="109" xfId="7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3" fontId="6" fillId="2" borderId="112" xfId="7" applyNumberFormat="1" applyFont="1" applyFill="1" applyBorder="1" applyAlignment="1">
      <alignment horizontal="center" vertical="top" wrapText="1"/>
    </xf>
    <xf numFmtId="0" fontId="21" fillId="2" borderId="11" xfId="7" applyFont="1" applyFill="1" applyBorder="1" applyAlignment="1">
      <alignment vertical="center" wrapText="1"/>
    </xf>
    <xf numFmtId="3" fontId="20" fillId="2" borderId="113" xfId="7" applyNumberFormat="1" applyFont="1" applyFill="1" applyBorder="1" applyAlignment="1">
      <alignment vertical="top" wrapText="1"/>
    </xf>
    <xf numFmtId="3" fontId="12" fillId="2" borderId="112" xfId="7" applyNumberFormat="1" applyFont="1" applyFill="1" applyBorder="1" applyAlignment="1">
      <alignment horizontal="center" vertical="top" wrapText="1"/>
    </xf>
    <xf numFmtId="0" fontId="38" fillId="10" borderId="114" xfId="7" applyFont="1" applyFill="1" applyBorder="1" applyAlignment="1">
      <alignment vertical="top"/>
    </xf>
    <xf numFmtId="0" fontId="38" fillId="10" borderId="115" xfId="7" applyFont="1" applyFill="1" applyBorder="1" applyAlignment="1">
      <alignment vertical="top" wrapText="1"/>
    </xf>
    <xf numFmtId="3" fontId="38" fillId="12" borderId="116" xfId="7" applyNumberFormat="1" applyFont="1" applyFill="1" applyBorder="1" applyAlignment="1">
      <alignment horizontal="center" vertical="top" wrapText="1"/>
    </xf>
    <xf numFmtId="3" fontId="38" fillId="12" borderId="117" xfId="7" applyNumberFormat="1" applyFont="1" applyFill="1" applyBorder="1" applyAlignment="1">
      <alignment horizontal="center" vertical="top" wrapText="1"/>
    </xf>
    <xf numFmtId="0" fontId="38" fillId="11" borderId="106" xfId="7" applyFont="1" applyFill="1" applyBorder="1" applyAlignment="1">
      <alignment vertical="top" wrapText="1"/>
    </xf>
    <xf numFmtId="0" fontId="38" fillId="11" borderId="107" xfId="7" applyFont="1" applyFill="1" applyBorder="1" applyAlignment="1">
      <alignment vertical="top" wrapText="1"/>
    </xf>
    <xf numFmtId="3" fontId="19" fillId="11" borderId="107" xfId="7" applyNumberFormat="1" applyFont="1" applyFill="1" applyBorder="1" applyAlignment="1">
      <alignment vertical="top" wrapText="1"/>
    </xf>
    <xf numFmtId="3" fontId="19" fillId="11" borderId="108" xfId="7" applyNumberFormat="1" applyFont="1" applyFill="1" applyBorder="1" applyAlignment="1">
      <alignment vertical="top" wrapText="1"/>
    </xf>
    <xf numFmtId="0" fontId="19" fillId="2" borderId="110" xfId="7" applyFont="1" applyFill="1" applyBorder="1" applyAlignment="1">
      <alignment vertical="top" wrapText="1"/>
    </xf>
    <xf numFmtId="0" fontId="38" fillId="11" borderId="118" xfId="7" applyFont="1" applyFill="1" applyBorder="1" applyAlignment="1">
      <alignment vertical="top" wrapText="1"/>
    </xf>
    <xf numFmtId="3" fontId="19" fillId="11" borderId="119" xfId="7" applyNumberFormat="1" applyFont="1" applyFill="1" applyBorder="1" applyAlignment="1">
      <alignment vertical="top" wrapText="1"/>
    </xf>
    <xf numFmtId="3" fontId="19" fillId="2" borderId="105" xfId="7" applyNumberFormat="1" applyFont="1" applyFill="1" applyBorder="1" applyAlignment="1">
      <alignment vertical="top" wrapText="1"/>
    </xf>
    <xf numFmtId="3" fontId="6" fillId="3" borderId="116" xfId="7" applyNumberFormat="1" applyFont="1" applyFill="1" applyBorder="1" applyAlignment="1">
      <alignment horizontal="center" vertical="top" wrapText="1"/>
    </xf>
    <xf numFmtId="0" fontId="13" fillId="2" borderId="0" xfId="7" applyFont="1" applyFill="1" applyBorder="1" applyAlignment="1"/>
    <xf numFmtId="0" fontId="6" fillId="2" borderId="0" xfId="7" applyFont="1" applyFill="1" applyBorder="1" applyAlignment="1"/>
    <xf numFmtId="0" fontId="21" fillId="10" borderId="40" xfId="7" applyFont="1" applyFill="1" applyBorder="1" applyAlignment="1">
      <alignment horizontal="center" vertical="center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21" fillId="0" borderId="19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0" fontId="19" fillId="0" borderId="11" xfId="7" applyFont="1" applyBorder="1" applyAlignment="1">
      <alignment vertical="top" wrapText="1"/>
    </xf>
    <xf numFmtId="3" fontId="6" fillId="3" borderId="20" xfId="7" applyNumberFormat="1" applyFont="1" applyFill="1" applyBorder="1" applyAlignment="1">
      <alignment horizontal="center" vertical="top" wrapText="1"/>
    </xf>
    <xf numFmtId="0" fontId="38" fillId="10" borderId="39" xfId="7" applyFont="1" applyFill="1" applyBorder="1" applyAlignment="1">
      <alignment vertical="top" wrapText="1"/>
    </xf>
    <xf numFmtId="0" fontId="38" fillId="12" borderId="28" xfId="7" applyFont="1" applyFill="1" applyBorder="1" applyAlignment="1">
      <alignment vertical="top" wrapText="1"/>
    </xf>
    <xf numFmtId="0" fontId="38" fillId="13" borderId="28" xfId="7" applyFont="1" applyFill="1" applyBorder="1" applyAlignment="1">
      <alignment vertical="top" wrapText="1"/>
    </xf>
    <xf numFmtId="3" fontId="6" fillId="3" borderId="29" xfId="7" applyNumberFormat="1" applyFont="1" applyFill="1" applyBorder="1" applyAlignment="1">
      <alignment horizontal="center" vertical="top" wrapText="1"/>
    </xf>
    <xf numFmtId="0" fontId="21" fillId="10" borderId="40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0" borderId="19" xfId="7" applyFont="1" applyBorder="1" applyAlignment="1"/>
    <xf numFmtId="0" fontId="6" fillId="0" borderId="11" xfId="7" applyFont="1" applyFill="1" applyBorder="1" applyAlignment="1">
      <alignment horizontal="center"/>
    </xf>
    <xf numFmtId="0" fontId="5" fillId="2" borderId="0" xfId="7" applyFont="1" applyFill="1" applyBorder="1" applyAlignment="1">
      <alignment horizontal="justify"/>
    </xf>
    <xf numFmtId="0" fontId="6" fillId="0" borderId="20" xfId="7" applyFont="1" applyFill="1" applyBorder="1" applyAlignment="1">
      <alignment horizontal="center"/>
    </xf>
    <xf numFmtId="0" fontId="39" fillId="2" borderId="0" xfId="7" applyFont="1" applyFill="1" applyAlignment="1"/>
    <xf numFmtId="0" fontId="21" fillId="10" borderId="20" xfId="7" applyFont="1" applyFill="1" applyBorder="1" applyAlignment="1">
      <alignment horizontal="center" vertical="center" wrapText="1"/>
    </xf>
    <xf numFmtId="3" fontId="38" fillId="12" borderId="28" xfId="7" applyNumberFormat="1" applyFont="1" applyFill="1" applyBorder="1" applyAlignment="1">
      <alignment horizontal="center" vertical="top" wrapText="1"/>
    </xf>
    <xf numFmtId="0" fontId="21" fillId="10" borderId="40" xfId="7" applyFont="1" applyFill="1" applyBorder="1" applyAlignment="1">
      <alignment vertical="top" wrapText="1"/>
    </xf>
    <xf numFmtId="0" fontId="21" fillId="10" borderId="31" xfId="7" applyFont="1" applyFill="1" applyBorder="1" applyAlignment="1">
      <alignment horizontal="center" vertical="top" wrapText="1"/>
    </xf>
    <xf numFmtId="0" fontId="19" fillId="12" borderId="20" xfId="7" applyFont="1" applyFill="1" applyBorder="1" applyAlignment="1">
      <alignment vertical="top" wrapText="1"/>
    </xf>
    <xf numFmtId="0" fontId="21" fillId="0" borderId="39" xfId="7" applyFont="1" applyBorder="1" applyAlignment="1"/>
    <xf numFmtId="0" fontId="37" fillId="2" borderId="0" xfId="7" applyFont="1" applyFill="1" applyAlignment="1"/>
    <xf numFmtId="0" fontId="21" fillId="2" borderId="0" xfId="7" applyFont="1" applyFill="1" applyAlignment="1"/>
    <xf numFmtId="0" fontId="21" fillId="2" borderId="0" xfId="7" applyFont="1" applyFill="1" applyAlignment="1">
      <alignment horizontal="center" vertical="center"/>
    </xf>
    <xf numFmtId="0" fontId="38" fillId="11" borderId="48" xfId="7" applyFont="1" applyFill="1" applyBorder="1" applyAlignment="1">
      <alignment vertical="top"/>
    </xf>
    <xf numFmtId="0" fontId="38" fillId="11" borderId="49" xfId="7" applyFont="1" applyFill="1" applyBorder="1" applyAlignment="1">
      <alignment vertical="top" wrapText="1"/>
    </xf>
    <xf numFmtId="0" fontId="19" fillId="11" borderId="49" xfId="7" applyFont="1" applyFill="1" applyBorder="1" applyAlignment="1">
      <alignment vertical="top" wrapText="1"/>
    </xf>
    <xf numFmtId="0" fontId="19" fillId="11" borderId="50" xfId="7" applyFont="1" applyFill="1" applyBorder="1" applyAlignment="1">
      <alignment vertical="top" wrapText="1"/>
    </xf>
    <xf numFmtId="0" fontId="21" fillId="2" borderId="48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/>
    </xf>
    <xf numFmtId="3" fontId="21" fillId="14" borderId="20" xfId="7" applyNumberFormat="1" applyFont="1" applyFill="1" applyBorder="1" applyAlignment="1">
      <alignment horizontal="center" vertical="top" wrapText="1"/>
    </xf>
    <xf numFmtId="0" fontId="21" fillId="2" borderId="48" xfId="7" applyFont="1" applyFill="1" applyBorder="1" applyAlignment="1">
      <alignment vertical="top" wrapText="1"/>
    </xf>
    <xf numFmtId="0" fontId="21" fillId="2" borderId="23" xfId="7" applyFont="1" applyFill="1" applyBorder="1" applyAlignment="1">
      <alignment vertical="top" wrapText="1"/>
    </xf>
    <xf numFmtId="3" fontId="40" fillId="14" borderId="20" xfId="7" applyNumberFormat="1" applyFont="1" applyFill="1" applyBorder="1" applyAlignment="1">
      <alignment horizontal="center" vertical="top" wrapText="1"/>
    </xf>
    <xf numFmtId="0" fontId="38" fillId="10" borderId="48" xfId="7" applyFont="1" applyFill="1" applyBorder="1" applyAlignment="1">
      <alignment vertical="top" wrapText="1"/>
    </xf>
    <xf numFmtId="0" fontId="38" fillId="10" borderId="23" xfId="7" applyFont="1" applyFill="1" applyBorder="1" applyAlignment="1">
      <alignment vertical="top" wrapText="1"/>
    </xf>
    <xf numFmtId="0" fontId="38" fillId="11" borderId="48" xfId="7" applyFont="1" applyFill="1" applyBorder="1" applyAlignment="1">
      <alignment vertical="top" wrapText="1"/>
    </xf>
    <xf numFmtId="3" fontId="19" fillId="11" borderId="49" xfId="7" applyNumberFormat="1" applyFont="1" applyFill="1" applyBorder="1" applyAlignment="1">
      <alignment vertical="top" wrapText="1"/>
    </xf>
    <xf numFmtId="3" fontId="19" fillId="11" borderId="50" xfId="7" applyNumberFormat="1" applyFont="1" applyFill="1" applyBorder="1" applyAlignment="1">
      <alignment vertical="top" wrapText="1"/>
    </xf>
    <xf numFmtId="0" fontId="19" fillId="0" borderId="23" xfId="7" applyFont="1" applyBorder="1" applyAlignment="1">
      <alignment vertical="top" wrapText="1"/>
    </xf>
    <xf numFmtId="0" fontId="38" fillId="11" borderId="49" xfId="7" applyFont="1" applyFill="1" applyBorder="1" applyAlignment="1">
      <alignment vertical="top"/>
    </xf>
    <xf numFmtId="0" fontId="38" fillId="10" borderId="51" xfId="7" applyFont="1" applyFill="1" applyBorder="1" applyAlignment="1">
      <alignment vertical="top" wrapText="1"/>
    </xf>
    <xf numFmtId="0" fontId="38" fillId="10" borderId="33" xfId="7" applyFont="1" applyFill="1" applyBorder="1" applyAlignment="1">
      <alignment vertical="top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3" fontId="38" fillId="12" borderId="11" xfId="7" applyNumberFormat="1" applyFont="1" applyFill="1" applyBorder="1" applyAlignment="1">
      <alignment horizontal="center" vertical="top" wrapText="1"/>
    </xf>
    <xf numFmtId="0" fontId="21" fillId="10" borderId="19" xfId="7" applyFont="1" applyFill="1" applyBorder="1" applyAlignment="1">
      <alignment vertical="center" wrapText="1"/>
    </xf>
    <xf numFmtId="0" fontId="21" fillId="2" borderId="48" xfId="7" applyFont="1" applyFill="1" applyBorder="1" applyAlignment="1"/>
    <xf numFmtId="0" fontId="19" fillId="2" borderId="23" xfId="7" applyFont="1" applyFill="1" applyBorder="1" applyAlignment="1">
      <alignment vertical="top"/>
    </xf>
    <xf numFmtId="0" fontId="19" fillId="2" borderId="23" xfId="7" applyFont="1" applyFill="1" applyBorder="1" applyAlignment="1">
      <alignment vertical="top" wrapText="1"/>
    </xf>
    <xf numFmtId="167" fontId="38" fillId="12" borderId="11" xfId="7" applyNumberFormat="1" applyFont="1" applyFill="1" applyBorder="1" applyAlignment="1">
      <alignment horizontal="center" vertical="top" wrapText="1"/>
    </xf>
    <xf numFmtId="168" fontId="38" fillId="12" borderId="11" xfId="7" applyNumberFormat="1" applyFont="1" applyFill="1" applyBorder="1" applyAlignment="1">
      <alignment horizontal="center" vertical="top" wrapText="1"/>
    </xf>
    <xf numFmtId="0" fontId="21" fillId="10" borderId="39" xfId="7" applyFont="1" applyFill="1" applyBorder="1" applyAlignment="1">
      <alignment vertical="center" wrapText="1"/>
    </xf>
    <xf numFmtId="1" fontId="19" fillId="12" borderId="20" xfId="7" applyNumberFormat="1" applyFont="1" applyFill="1" applyBorder="1" applyAlignment="1">
      <alignment vertical="top" wrapText="1"/>
    </xf>
    <xf numFmtId="3" fontId="19" fillId="12" borderId="29" xfId="7" applyNumberFormat="1" applyFont="1" applyFill="1" applyBorder="1" applyAlignment="1">
      <alignment vertical="top" wrapText="1"/>
    </xf>
    <xf numFmtId="3" fontId="19" fillId="3" borderId="111" xfId="7" applyNumberFormat="1" applyFont="1" applyFill="1" applyBorder="1" applyAlignment="1">
      <alignment vertical="top" wrapText="1"/>
    </xf>
    <xf numFmtId="0" fontId="21" fillId="3" borderId="111" xfId="7" applyFont="1" applyFill="1" applyBorder="1" applyAlignment="1">
      <alignment vertical="center" wrapText="1"/>
    </xf>
    <xf numFmtId="0" fontId="21" fillId="3" borderId="105" xfId="7" applyFont="1" applyFill="1" applyBorder="1" applyAlignment="1">
      <alignment vertical="center" wrapText="1"/>
    </xf>
    <xf numFmtId="0" fontId="21" fillId="3" borderId="11" xfId="7" applyFont="1" applyFill="1" applyBorder="1" applyAlignment="1">
      <alignment vertical="center" wrapText="1"/>
    </xf>
    <xf numFmtId="3" fontId="19" fillId="3" borderId="11" xfId="7" applyNumberFormat="1" applyFont="1" applyFill="1" applyBorder="1" applyAlignment="1">
      <alignment horizontal="center" vertical="top" wrapText="1"/>
    </xf>
    <xf numFmtId="3" fontId="19" fillId="2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19" fillId="3" borderId="13" xfId="7" applyNumberFormat="1" applyFont="1" applyFill="1" applyBorder="1" applyAlignment="1">
      <alignment vertical="top" wrapText="1"/>
    </xf>
    <xf numFmtId="3" fontId="19" fillId="3" borderId="53" xfId="7" applyNumberFormat="1" applyFont="1" applyFill="1" applyBorder="1" applyAlignment="1">
      <alignment vertical="top" wrapText="1"/>
    </xf>
    <xf numFmtId="3" fontId="19" fillId="3" borderId="54" xfId="7" applyNumberFormat="1" applyFont="1" applyFill="1" applyBorder="1" applyAlignment="1">
      <alignment vertical="top" wrapText="1"/>
    </xf>
    <xf numFmtId="3" fontId="19" fillId="3" borderId="52" xfId="7" applyNumberFormat="1" applyFont="1" applyFill="1" applyBorder="1" applyAlignment="1">
      <alignment vertical="top" wrapText="1"/>
    </xf>
    <xf numFmtId="3" fontId="19" fillId="3" borderId="0" xfId="7" applyNumberFormat="1" applyFont="1" applyFill="1" applyBorder="1" applyAlignment="1">
      <alignment vertical="top" wrapText="1"/>
    </xf>
    <xf numFmtId="3" fontId="19" fillId="3" borderId="55" xfId="7" applyNumberFormat="1" applyFont="1" applyFill="1" applyBorder="1" applyAlignment="1">
      <alignment vertical="top" wrapText="1"/>
    </xf>
    <xf numFmtId="3" fontId="19" fillId="3" borderId="44" xfId="7" applyNumberFormat="1" applyFont="1" applyFill="1" applyBorder="1" applyAlignment="1">
      <alignment vertical="top" wrapText="1"/>
    </xf>
    <xf numFmtId="3" fontId="19" fillId="3" borderId="56" xfId="7" applyNumberFormat="1" applyFont="1" applyFill="1" applyBorder="1" applyAlignment="1">
      <alignment vertical="top" wrapText="1"/>
    </xf>
    <xf numFmtId="3" fontId="19" fillId="3" borderId="42" xfId="7" applyNumberFormat="1" applyFont="1" applyFill="1" applyBorder="1" applyAlignment="1">
      <alignment vertical="top" wrapText="1"/>
    </xf>
    <xf numFmtId="0" fontId="5" fillId="2" borderId="11" xfId="7" applyFont="1" applyFill="1" applyBorder="1" applyAlignment="1" applyProtection="1">
      <alignment horizontal="center" vertical="center"/>
      <protection locked="0"/>
    </xf>
    <xf numFmtId="0" fontId="5" fillId="2" borderId="11" xfId="7" applyFont="1" applyFill="1" applyBorder="1" applyAlignment="1">
      <alignment horizontal="center" vertical="center" wrapText="1"/>
    </xf>
    <xf numFmtId="0" fontId="5" fillId="2" borderId="11" xfId="7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 wrapText="1"/>
    </xf>
    <xf numFmtId="3" fontId="21" fillId="14" borderId="28" xfId="7" applyNumberFormat="1" applyFont="1" applyFill="1" applyBorder="1" applyAlignment="1">
      <alignment horizontal="center" vertical="top" wrapText="1"/>
    </xf>
    <xf numFmtId="3" fontId="21" fillId="14" borderId="29" xfId="7" applyNumberFormat="1" applyFont="1" applyFill="1" applyBorder="1" applyAlignment="1">
      <alignment horizontal="center" vertical="top" wrapText="1"/>
    </xf>
    <xf numFmtId="0" fontId="41" fillId="2" borderId="0" xfId="7" applyFont="1" applyFill="1"/>
    <xf numFmtId="0" fontId="25" fillId="2" borderId="0" xfId="7" applyFont="1" applyFill="1"/>
    <xf numFmtId="0" fontId="19" fillId="8" borderId="0" xfId="7" applyFont="1" applyFill="1"/>
    <xf numFmtId="0" fontId="19" fillId="9" borderId="0" xfId="7" applyFont="1" applyFill="1"/>
    <xf numFmtId="10" fontId="19" fillId="2" borderId="0" xfId="8" applyNumberFormat="1" applyFont="1" applyFill="1" applyBorder="1"/>
    <xf numFmtId="0" fontId="41" fillId="2" borderId="0" xfId="0" applyFont="1" applyFill="1" applyBorder="1"/>
    <xf numFmtId="0" fontId="25" fillId="2" borderId="0" xfId="0" applyFont="1" applyFill="1" applyBorder="1"/>
    <xf numFmtId="10" fontId="25" fillId="2" borderId="0" xfId="8" applyNumberFormat="1" applyFont="1" applyFill="1" applyBorder="1"/>
    <xf numFmtId="0" fontId="25" fillId="2" borderId="0" xfId="0" applyFont="1" applyFill="1"/>
    <xf numFmtId="0" fontId="41" fillId="2" borderId="0" xfId="0" applyFont="1" applyFill="1"/>
    <xf numFmtId="10" fontId="41" fillId="2" borderId="0" xfId="8" applyNumberFormat="1" applyFont="1" applyFill="1" applyBorder="1"/>
    <xf numFmtId="10" fontId="25" fillId="2" borderId="0" xfId="8" applyNumberFormat="1" applyFont="1" applyFill="1"/>
    <xf numFmtId="10" fontId="19" fillId="2" borderId="45" xfId="8" applyNumberFormat="1" applyFont="1" applyFill="1" applyBorder="1"/>
    <xf numFmtId="10" fontId="19" fillId="2" borderId="38" xfId="8" applyNumberFormat="1" applyFont="1" applyFill="1" applyBorder="1"/>
    <xf numFmtId="0" fontId="21" fillId="2" borderId="35" xfId="7" applyFont="1" applyFill="1" applyBorder="1" applyAlignment="1">
      <alignment horizontal="left"/>
    </xf>
    <xf numFmtId="3" fontId="6" fillId="4" borderId="116" xfId="7" applyNumberFormat="1" applyFont="1" applyFill="1" applyBorder="1" applyAlignment="1">
      <alignment horizontal="center" vertical="top" wrapText="1"/>
    </xf>
    <xf numFmtId="10" fontId="6" fillId="8" borderId="116" xfId="8" applyNumberFormat="1" applyFont="1" applyFill="1" applyBorder="1" applyAlignment="1">
      <alignment horizontal="center" vertical="top" wrapText="1"/>
    </xf>
    <xf numFmtId="10" fontId="6" fillId="8" borderId="112" xfId="8" applyNumberFormat="1" applyFont="1" applyFill="1" applyBorder="1" applyAlignment="1">
      <alignment horizontal="center" vertical="top" wrapText="1"/>
    </xf>
    <xf numFmtId="10" fontId="5" fillId="8" borderId="111" xfId="8" applyNumberFormat="1" applyFont="1" applyFill="1" applyBorder="1" applyAlignment="1">
      <alignment vertical="top" wrapText="1"/>
    </xf>
    <xf numFmtId="10" fontId="12" fillId="8" borderId="112" xfId="8" applyNumberFormat="1" applyFont="1" applyFill="1" applyBorder="1" applyAlignment="1">
      <alignment horizontal="center" vertical="top" wrapText="1"/>
    </xf>
    <xf numFmtId="0" fontId="19" fillId="2" borderId="9" xfId="7" applyFont="1" applyFill="1" applyBorder="1"/>
    <xf numFmtId="10" fontId="6" fillId="9" borderId="112" xfId="8" applyNumberFormat="1" applyFont="1" applyFill="1" applyBorder="1" applyAlignment="1">
      <alignment horizontal="center" vertical="top" wrapText="1"/>
    </xf>
    <xf numFmtId="10" fontId="19" fillId="2" borderId="111" xfId="8" applyNumberFormat="1" applyFont="1" applyFill="1" applyBorder="1" applyAlignment="1">
      <alignment vertical="top" wrapText="1"/>
    </xf>
    <xf numFmtId="0" fontId="39" fillId="2" borderId="0" xfId="7" applyFont="1" applyFill="1" applyBorder="1" applyAlignment="1">
      <alignment horizontal="left" vertical="top" wrapText="1"/>
    </xf>
    <xf numFmtId="10" fontId="6" fillId="2" borderId="0" xfId="8" applyNumberFormat="1" applyFont="1" applyFill="1" applyBorder="1" applyAlignment="1">
      <alignment horizontal="center" vertical="top" wrapText="1"/>
    </xf>
    <xf numFmtId="3" fontId="6" fillId="2" borderId="0" xfId="7" applyNumberFormat="1" applyFont="1" applyFill="1" applyBorder="1" applyAlignment="1">
      <alignment horizontal="center" vertical="top" wrapText="1"/>
    </xf>
    <xf numFmtId="0" fontId="25" fillId="2" borderId="0" xfId="7" applyFont="1" applyFill="1" applyBorder="1"/>
    <xf numFmtId="0" fontId="19" fillId="2" borderId="0" xfId="7" applyFont="1" applyFill="1" applyBorder="1"/>
    <xf numFmtId="0" fontId="19" fillId="0" borderId="0" xfId="7" applyFont="1" applyBorder="1"/>
    <xf numFmtId="0" fontId="25" fillId="0" borderId="0" xfId="7" applyFont="1" applyBorder="1"/>
    <xf numFmtId="0" fontId="41" fillId="2" borderId="0" xfId="7" applyFont="1" applyFill="1" applyBorder="1"/>
    <xf numFmtId="0" fontId="21" fillId="2" borderId="0" xfId="7" applyFont="1" applyFill="1" applyBorder="1" applyAlignment="1">
      <alignment horizontal="left"/>
    </xf>
    <xf numFmtId="3" fontId="42" fillId="2" borderId="111" xfId="1" applyNumberFormat="1" applyFont="1" applyFill="1" applyBorder="1" applyAlignment="1">
      <alignment vertical="top" wrapText="1"/>
    </xf>
    <xf numFmtId="3" fontId="43" fillId="12" borderId="112" xfId="7" applyNumberFormat="1" applyFont="1" applyFill="1" applyBorder="1" applyAlignment="1">
      <alignment horizontal="center" vertical="top" wrapText="1"/>
    </xf>
    <xf numFmtId="3" fontId="42" fillId="3" borderId="111" xfId="7" applyNumberFormat="1" applyFont="1" applyFill="1" applyBorder="1" applyAlignment="1">
      <alignment vertical="top" wrapText="1"/>
    </xf>
    <xf numFmtId="3" fontId="43" fillId="2" borderId="112" xfId="7" applyNumberFormat="1" applyFont="1" applyFill="1" applyBorder="1" applyAlignment="1">
      <alignment horizontal="center" vertical="top" wrapText="1"/>
    </xf>
    <xf numFmtId="3" fontId="43" fillId="12" borderId="116" xfId="7" applyNumberFormat="1" applyFont="1" applyFill="1" applyBorder="1" applyAlignment="1">
      <alignment horizontal="center" vertical="top" wrapText="1"/>
    </xf>
    <xf numFmtId="3" fontId="43" fillId="12" borderId="117" xfId="7" applyNumberFormat="1" applyFont="1" applyFill="1" applyBorder="1" applyAlignment="1">
      <alignment horizontal="center" vertical="top" wrapText="1"/>
    </xf>
    <xf numFmtId="3" fontId="42" fillId="11" borderId="107" xfId="7" applyNumberFormat="1" applyFont="1" applyFill="1" applyBorder="1" applyAlignment="1">
      <alignment vertical="top" wrapText="1"/>
    </xf>
    <xf numFmtId="3" fontId="42" fillId="11" borderId="108" xfId="7" applyNumberFormat="1" applyFont="1" applyFill="1" applyBorder="1" applyAlignment="1">
      <alignment vertical="top" wrapText="1"/>
    </xf>
    <xf numFmtId="3" fontId="42" fillId="11" borderId="119" xfId="7" applyNumberFormat="1" applyFont="1" applyFill="1" applyBorder="1" applyAlignment="1">
      <alignment vertical="top" wrapText="1"/>
    </xf>
    <xf numFmtId="3" fontId="43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Alignment="1">
      <alignment horizontal="left" vertical="center"/>
    </xf>
    <xf numFmtId="3" fontId="6" fillId="3" borderId="105" xfId="7" applyNumberFormat="1" applyFont="1" applyFill="1" applyBorder="1" applyAlignment="1">
      <alignment horizontal="center" vertical="top" wrapText="1"/>
    </xf>
    <xf numFmtId="10" fontId="44" fillId="2" borderId="7" xfId="8" applyNumberFormat="1" applyFont="1" applyFill="1" applyBorder="1"/>
    <xf numFmtId="10" fontId="44" fillId="2" borderId="15" xfId="8" applyNumberFormat="1" applyFont="1" applyFill="1" applyBorder="1"/>
    <xf numFmtId="0" fontId="44" fillId="2" borderId="16" xfId="7" applyFont="1" applyFill="1" applyBorder="1"/>
    <xf numFmtId="0" fontId="44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0" fontId="32" fillId="3" borderId="0" xfId="0" applyFont="1" applyFill="1"/>
    <xf numFmtId="0" fontId="0" fillId="18" borderId="39" xfId="0" applyFill="1" applyBorder="1"/>
    <xf numFmtId="0" fontId="0" fillId="18" borderId="134" xfId="0" applyNumberFormat="1" applyFill="1" applyBorder="1"/>
    <xf numFmtId="0" fontId="0" fillId="18" borderId="135" xfId="0" applyNumberFormat="1" applyFill="1" applyBorder="1"/>
    <xf numFmtId="0" fontId="0" fillId="18" borderId="136" xfId="0" applyNumberFormat="1" applyFill="1" applyBorder="1"/>
    <xf numFmtId="0" fontId="0" fillId="18" borderId="137" xfId="0" applyNumberFormat="1" applyFill="1" applyBorder="1"/>
    <xf numFmtId="0" fontId="0" fillId="18" borderId="138" xfId="0" applyNumberFormat="1" applyFill="1" applyBorder="1"/>
    <xf numFmtId="0" fontId="0" fillId="18" borderId="139" xfId="0" applyNumberFormat="1" applyFill="1" applyBorder="1"/>
    <xf numFmtId="0" fontId="0" fillId="18" borderId="140" xfId="0" applyNumberFormat="1" applyFill="1" applyBorder="1"/>
    <xf numFmtId="0" fontId="0" fillId="18" borderId="141" xfId="0" applyNumberFormat="1" applyFill="1" applyBorder="1"/>
    <xf numFmtId="0" fontId="0" fillId="18" borderId="142" xfId="0" applyNumberFormat="1" applyFill="1" applyBorder="1"/>
    <xf numFmtId="0" fontId="0" fillId="18" borderId="72" xfId="0" applyFill="1" applyBorder="1"/>
    <xf numFmtId="9" fontId="0" fillId="19" borderId="12" xfId="0" applyNumberFormat="1" applyFill="1" applyBorder="1"/>
    <xf numFmtId="9" fontId="0" fillId="19" borderId="13" xfId="0" applyNumberFormat="1" applyFill="1" applyBorder="1"/>
    <xf numFmtId="0" fontId="22" fillId="6" borderId="41" xfId="0" applyFont="1" applyFill="1" applyBorder="1" applyAlignment="1">
      <alignment horizontal="center" vertical="center" wrapText="1"/>
    </xf>
    <xf numFmtId="0" fontId="0" fillId="18" borderId="19" xfId="0" applyFill="1" applyBorder="1"/>
    <xf numFmtId="10" fontId="16" fillId="18" borderId="11" xfId="8" applyNumberFormat="1" applyFont="1" applyFill="1" applyBorder="1"/>
    <xf numFmtId="0" fontId="0" fillId="18" borderId="9" xfId="0" applyFill="1" applyBorder="1" applyAlignment="1">
      <alignment horizontal="center" vertical="center"/>
    </xf>
    <xf numFmtId="3" fontId="0" fillId="2" borderId="0" xfId="0" applyNumberFormat="1" applyFill="1"/>
    <xf numFmtId="164" fontId="0" fillId="2" borderId="0" xfId="0" applyNumberFormat="1" applyFill="1"/>
    <xf numFmtId="0" fontId="0" fillId="0" borderId="72" xfId="0" applyFill="1" applyBorder="1"/>
    <xf numFmtId="0" fontId="0" fillId="19" borderId="72" xfId="0" applyFill="1" applyBorder="1"/>
    <xf numFmtId="0" fontId="23" fillId="4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2" borderId="11" xfId="8" applyNumberFormat="1" applyFont="1" applyFill="1" applyBorder="1"/>
    <xf numFmtId="0" fontId="0" fillId="18" borderId="143" xfId="0" applyNumberFormat="1" applyFill="1" applyBorder="1"/>
    <xf numFmtId="0" fontId="0" fillId="2" borderId="0" xfId="0" applyFill="1" applyAlignment="1">
      <alignment horizontal="center"/>
    </xf>
    <xf numFmtId="164" fontId="29" fillId="0" borderId="12" xfId="0" applyNumberFormat="1" applyFont="1" applyBorder="1"/>
    <xf numFmtId="164" fontId="29" fillId="0" borderId="13" xfId="0" applyNumberFormat="1" applyFont="1" applyBorder="1"/>
    <xf numFmtId="165" fontId="16" fillId="0" borderId="12" xfId="8" applyNumberFormat="1" applyFont="1" applyBorder="1"/>
    <xf numFmtId="165" fontId="22" fillId="4" borderId="16" xfId="0" applyNumberFormat="1" applyFont="1" applyFill="1" applyBorder="1"/>
    <xf numFmtId="165" fontId="22" fillId="4" borderId="9" xfId="0" applyNumberFormat="1" applyFont="1" applyFill="1" applyBorder="1"/>
    <xf numFmtId="165" fontId="22" fillId="4" borderId="24" xfId="0" applyNumberFormat="1" applyFont="1" applyFill="1" applyBorder="1"/>
    <xf numFmtId="10" fontId="22" fillId="0" borderId="7" xfId="8" applyNumberFormat="1" applyFont="1" applyBorder="1"/>
    <xf numFmtId="10" fontId="22" fillId="0" borderId="7" xfId="8" applyNumberFormat="1" applyFont="1" applyFill="1" applyBorder="1"/>
    <xf numFmtId="164" fontId="0" fillId="0" borderId="28" xfId="0" applyNumberFormat="1" applyBorder="1"/>
    <xf numFmtId="164" fontId="28" fillId="0" borderId="6" xfId="0" applyNumberFormat="1" applyFont="1" applyFill="1" applyBorder="1"/>
    <xf numFmtId="164" fontId="28" fillId="0" borderId="7" xfId="0" applyNumberFormat="1" applyFont="1" applyFill="1" applyBorder="1"/>
    <xf numFmtId="9" fontId="22" fillId="0" borderId="7" xfId="8" applyFont="1" applyBorder="1"/>
    <xf numFmtId="164" fontId="22" fillId="0" borderId="7" xfId="0" applyNumberFormat="1" applyFont="1" applyBorder="1"/>
    <xf numFmtId="165" fontId="22" fillId="0" borderId="7" xfId="0" applyNumberFormat="1" applyFont="1" applyBorder="1"/>
    <xf numFmtId="169" fontId="38" fillId="12" borderId="11" xfId="7" applyNumberFormat="1" applyFont="1" applyFill="1" applyBorder="1" applyAlignment="1">
      <alignment horizontal="center" vertical="top" wrapText="1"/>
    </xf>
    <xf numFmtId="170" fontId="38" fillId="12" borderId="11" xfId="7" applyNumberFormat="1" applyFont="1" applyFill="1" applyBorder="1" applyAlignment="1">
      <alignment horizontal="center" vertical="top" wrapText="1"/>
    </xf>
    <xf numFmtId="3" fontId="19" fillId="2" borderId="0" xfId="7" applyNumberFormat="1" applyFont="1" applyFill="1"/>
    <xf numFmtId="164" fontId="22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6" fillId="2" borderId="7" xfId="8" applyNumberFormat="1" applyFont="1" applyFill="1" applyBorder="1"/>
    <xf numFmtId="10" fontId="16" fillId="2" borderId="24" xfId="8" applyNumberFormat="1" applyFont="1" applyFill="1" applyBorder="1"/>
    <xf numFmtId="0" fontId="30" fillId="2" borderId="0" xfId="0" applyFont="1" applyFill="1"/>
    <xf numFmtId="164" fontId="16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6" fillId="2" borderId="0" xfId="3" applyNumberFormat="1" applyFont="1" applyFill="1"/>
    <xf numFmtId="164" fontId="0" fillId="2" borderId="0" xfId="0" applyNumberFormat="1" applyFill="1" applyAlignment="1"/>
    <xf numFmtId="9" fontId="16" fillId="2" borderId="0" xfId="8" applyFont="1" applyFill="1" applyAlignment="1">
      <alignment horizontal="left"/>
    </xf>
    <xf numFmtId="9" fontId="16" fillId="2" borderId="0" xfId="8" applyFont="1" applyFill="1" applyAlignment="1"/>
    <xf numFmtId="165" fontId="16" fillId="2" borderId="0" xfId="8" applyNumberFormat="1" applyFont="1" applyFill="1"/>
    <xf numFmtId="165" fontId="0" fillId="2" borderId="0" xfId="0" applyNumberFormat="1" applyFill="1"/>
    <xf numFmtId="0" fontId="22" fillId="0" borderId="0" xfId="0" applyFont="1"/>
    <xf numFmtId="0" fontId="19" fillId="2" borderId="43" xfId="7" applyFont="1" applyFill="1" applyBorder="1"/>
    <xf numFmtId="165" fontId="19" fillId="2" borderId="43" xfId="8" applyNumberFormat="1" applyFont="1" applyFill="1" applyBorder="1"/>
    <xf numFmtId="0" fontId="32" fillId="3" borderId="0" xfId="0" applyFont="1" applyFill="1" applyAlignment="1">
      <alignment horizont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47" fillId="18" borderId="134" xfId="0" applyNumberFormat="1" applyFont="1" applyFill="1" applyBorder="1"/>
    <xf numFmtId="0" fontId="47" fillId="0" borderId="45" xfId="0" applyNumberFormat="1" applyFont="1" applyBorder="1"/>
    <xf numFmtId="3" fontId="0" fillId="0" borderId="11" xfId="0" applyNumberFormat="1" applyBorder="1"/>
    <xf numFmtId="3" fontId="0" fillId="0" borderId="1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4" xfId="0" applyNumberFormat="1" applyBorder="1"/>
    <xf numFmtId="1" fontId="19" fillId="2" borderId="0" xfId="7" applyNumberFormat="1" applyFont="1" applyFill="1"/>
    <xf numFmtId="168" fontId="5" fillId="2" borderId="0" xfId="7" applyNumberFormat="1" applyFont="1" applyFill="1" applyBorder="1" applyAlignment="1">
      <alignment horizontal="justify"/>
    </xf>
    <xf numFmtId="0" fontId="0" fillId="0" borderId="0" xfId="0"/>
    <xf numFmtId="0" fontId="0" fillId="2" borderId="0" xfId="0" applyFill="1"/>
    <xf numFmtId="164" fontId="0" fillId="17" borderId="12" xfId="0" applyNumberFormat="1" applyFill="1" applyBorder="1"/>
    <xf numFmtId="10" fontId="16" fillId="17" borderId="11" xfId="8" applyNumberFormat="1" applyFont="1" applyFill="1" applyBorder="1"/>
    <xf numFmtId="164" fontId="0" fillId="17" borderId="13" xfId="0" applyNumberFormat="1" applyFill="1" applyBorder="1"/>
    <xf numFmtId="10" fontId="16" fillId="17" borderId="14" xfId="8" applyNumberFormat="1" applyFont="1" applyFill="1" applyBorder="1"/>
    <xf numFmtId="164" fontId="22" fillId="17" borderId="7" xfId="0" applyNumberFormat="1" applyFont="1" applyFill="1" applyBorder="1"/>
    <xf numFmtId="10" fontId="16" fillId="17" borderId="7" xfId="8" applyNumberFormat="1" applyFont="1" applyFill="1" applyBorder="1"/>
    <xf numFmtId="164" fontId="22" fillId="17" borderId="11" xfId="0" applyNumberFormat="1" applyFont="1" applyFill="1" applyBorder="1"/>
    <xf numFmtId="10" fontId="22" fillId="17" borderId="7" xfId="8" applyNumberFormat="1" applyFont="1" applyFill="1" applyBorder="1"/>
    <xf numFmtId="164" fontId="0" fillId="17" borderId="28" xfId="0" applyNumberFormat="1" applyFill="1" applyBorder="1"/>
    <xf numFmtId="165" fontId="16" fillId="17" borderId="20" xfId="8" applyNumberFormat="1" applyFont="1" applyFill="1" applyBorder="1"/>
    <xf numFmtId="165" fontId="22" fillId="17" borderId="15" xfId="0" applyNumberFormat="1" applyFont="1" applyFill="1" applyBorder="1"/>
    <xf numFmtId="165" fontId="16" fillId="17" borderId="22" xfId="8" applyNumberFormat="1" applyFont="1" applyFill="1" applyBorder="1"/>
    <xf numFmtId="9" fontId="22" fillId="17" borderId="15" xfId="8" applyFont="1" applyFill="1" applyBorder="1"/>
    <xf numFmtId="164" fontId="22" fillId="8" borderId="0" xfId="0" applyNumberFormat="1" applyFont="1" applyFill="1"/>
    <xf numFmtId="164" fontId="22" fillId="17" borderId="5" xfId="0" applyNumberFormat="1" applyFont="1" applyFill="1" applyBorder="1"/>
    <xf numFmtId="43" fontId="0" fillId="17" borderId="3" xfId="0" applyNumberFormat="1" applyFill="1" applyBorder="1"/>
    <xf numFmtId="16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22" fillId="0" borderId="9" xfId="0" applyFont="1" applyBorder="1"/>
    <xf numFmtId="164" fontId="22" fillId="0" borderId="9" xfId="0" applyNumberFormat="1" applyFont="1" applyBorder="1"/>
    <xf numFmtId="164" fontId="0" fillId="0" borderId="144" xfId="1" applyNumberFormat="1" applyFont="1" applyBorder="1" applyAlignment="1">
      <alignment horizontal="center"/>
    </xf>
    <xf numFmtId="164" fontId="0" fillId="0" borderId="145" xfId="1" applyNumberFormat="1" applyFont="1" applyBorder="1" applyAlignment="1">
      <alignment horizontal="center"/>
    </xf>
    <xf numFmtId="164" fontId="0" fillId="0" borderId="146" xfId="1" applyNumberFormat="1" applyFont="1" applyBorder="1" applyAlignment="1">
      <alignment horizontal="center"/>
    </xf>
    <xf numFmtId="164" fontId="22" fillId="0" borderId="146" xfId="1" applyNumberFormat="1" applyFont="1" applyBorder="1" applyAlignment="1">
      <alignment horizontal="center"/>
    </xf>
    <xf numFmtId="0" fontId="6" fillId="2" borderId="11" xfId="7" applyFont="1" applyFill="1" applyBorder="1" applyAlignment="1" applyProtection="1">
      <alignment horizontal="center" vertical="center"/>
      <protection locked="0"/>
    </xf>
    <xf numFmtId="0" fontId="21" fillId="10" borderId="126" xfId="7" applyFont="1" applyFill="1" applyBorder="1" applyAlignment="1">
      <alignment horizontal="center" vertical="center" wrapText="1"/>
    </xf>
    <xf numFmtId="0" fontId="21" fillId="10" borderId="127" xfId="7" applyFont="1" applyFill="1" applyBorder="1" applyAlignment="1">
      <alignment horizontal="center" vertical="center" wrapText="1"/>
    </xf>
    <xf numFmtId="0" fontId="21" fillId="10" borderId="128" xfId="7" applyFont="1" applyFill="1" applyBorder="1" applyAlignment="1">
      <alignment horizontal="center" vertical="center" wrapText="1"/>
    </xf>
    <xf numFmtId="0" fontId="21" fillId="10" borderId="129" xfId="7" applyFont="1" applyFill="1" applyBorder="1" applyAlignment="1">
      <alignment horizontal="center" vertical="center" wrapText="1"/>
    </xf>
    <xf numFmtId="0" fontId="21" fillId="10" borderId="130" xfId="7" applyFont="1" applyFill="1" applyBorder="1" applyAlignment="1">
      <alignment horizontal="center" vertical="top" wrapText="1"/>
    </xf>
    <xf numFmtId="0" fontId="21" fillId="10" borderId="131" xfId="7" applyFont="1" applyFill="1" applyBorder="1" applyAlignment="1">
      <alignment horizontal="center" vertical="top" wrapText="1"/>
    </xf>
    <xf numFmtId="0" fontId="21" fillId="10" borderId="132" xfId="7" applyFont="1" applyFill="1" applyBorder="1" applyAlignment="1">
      <alignment horizontal="center" vertical="top" wrapText="1"/>
    </xf>
    <xf numFmtId="0" fontId="21" fillId="10" borderId="111" xfId="7" applyFont="1" applyFill="1" applyBorder="1" applyAlignment="1">
      <alignment horizontal="center" vertical="center" wrapText="1"/>
    </xf>
    <xf numFmtId="0" fontId="21" fillId="10" borderId="105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textRotation="90" wrapText="1"/>
    </xf>
    <xf numFmtId="0" fontId="21" fillId="2" borderId="123" xfId="7" applyFont="1" applyFill="1" applyBorder="1" applyAlignment="1">
      <alignment horizontal="left" vertical="center" wrapText="1"/>
    </xf>
    <xf numFmtId="0" fontId="21" fillId="2" borderId="1" xfId="7" applyFont="1" applyFill="1" applyBorder="1" applyAlignment="1">
      <alignment horizontal="left" vertical="center" wrapText="1"/>
    </xf>
    <xf numFmtId="0" fontId="21" fillId="2" borderId="124" xfId="7" applyFont="1" applyFill="1" applyBorder="1" applyAlignment="1">
      <alignment horizontal="left" vertical="center" wrapText="1"/>
    </xf>
    <xf numFmtId="0" fontId="38" fillId="10" borderId="114" xfId="7" applyFont="1" applyFill="1" applyBorder="1" applyAlignment="1">
      <alignment horizontal="left" vertical="top" wrapText="1"/>
    </xf>
    <xf numFmtId="0" fontId="38" fillId="10" borderId="125" xfId="7" applyFont="1" applyFill="1" applyBorder="1" applyAlignment="1">
      <alignment horizontal="left" vertical="top" wrapText="1"/>
    </xf>
    <xf numFmtId="0" fontId="38" fillId="10" borderId="2" xfId="7" applyFont="1" applyFill="1" applyBorder="1" applyAlignment="1">
      <alignment horizontal="left" vertical="top" wrapText="1"/>
    </xf>
    <xf numFmtId="0" fontId="38" fillId="10" borderId="115" xfId="7" applyFont="1" applyFill="1" applyBorder="1" applyAlignment="1">
      <alignment horizontal="left" vertical="top" wrapText="1"/>
    </xf>
    <xf numFmtId="0" fontId="45" fillId="8" borderId="120" xfId="7" applyFont="1" applyFill="1" applyBorder="1" applyAlignment="1">
      <alignment horizontal="center" vertical="center"/>
    </xf>
    <xf numFmtId="0" fontId="21" fillId="2" borderId="1" xfId="7" applyFont="1" applyFill="1" applyBorder="1" applyAlignment="1">
      <alignment horizontal="center" vertical="center" textRotation="90" wrapText="1"/>
    </xf>
    <xf numFmtId="0" fontId="21" fillId="10" borderId="121" xfId="7" applyFont="1" applyFill="1" applyBorder="1" applyAlignment="1">
      <alignment horizontal="center" vertical="center" wrapText="1"/>
    </xf>
    <xf numFmtId="0" fontId="21" fillId="10" borderId="122" xfId="7" applyFont="1" applyFill="1" applyBorder="1" applyAlignment="1">
      <alignment horizontal="center" vertical="center" wrapText="1"/>
    </xf>
    <xf numFmtId="0" fontId="39" fillId="8" borderId="2" xfId="7" applyFont="1" applyFill="1" applyBorder="1" applyAlignment="1">
      <alignment horizontal="left" vertical="top" wrapText="1"/>
    </xf>
    <xf numFmtId="0" fontId="39" fillId="8" borderId="115" xfId="7" applyFont="1" applyFill="1" applyBorder="1" applyAlignment="1">
      <alignment horizontal="left" vertical="top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21" fillId="10" borderId="133" xfId="7" applyFont="1" applyFill="1" applyBorder="1" applyAlignment="1">
      <alignment horizontal="center" vertical="center" wrapText="1"/>
    </xf>
    <xf numFmtId="0" fontId="21" fillId="10" borderId="59" xfId="7" applyFont="1" applyFill="1" applyBorder="1" applyAlignment="1">
      <alignment horizontal="center" vertical="center" wrapText="1"/>
    </xf>
    <xf numFmtId="0" fontId="21" fillId="10" borderId="60" xfId="7" applyFont="1" applyFill="1" applyBorder="1" applyAlignment="1">
      <alignment horizontal="center" vertical="center" wrapText="1"/>
    </xf>
    <xf numFmtId="0" fontId="21" fillId="2" borderId="48" xfId="7" applyFont="1" applyFill="1" applyBorder="1" applyAlignment="1">
      <alignment horizontal="left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46" fillId="8" borderId="58" xfId="0" applyFont="1" applyFill="1" applyBorder="1" applyAlignment="1">
      <alignment horizontal="center" vertical="center" wrapText="1"/>
    </xf>
    <xf numFmtId="0" fontId="21" fillId="10" borderId="40" xfId="7" applyFont="1" applyFill="1" applyBorder="1" applyAlignment="1">
      <alignment horizontal="center" vertical="center" wrapText="1"/>
    </xf>
    <xf numFmtId="0" fontId="21" fillId="10" borderId="19" xfId="7" applyFont="1" applyFill="1" applyBorder="1" applyAlignment="1">
      <alignment horizontal="center" vertical="center" wrapText="1"/>
    </xf>
    <xf numFmtId="0" fontId="21" fillId="10" borderId="14" xfId="7" applyFont="1" applyFill="1" applyBorder="1" applyAlignment="1">
      <alignment horizontal="center" vertical="center" wrapText="1"/>
    </xf>
    <xf numFmtId="0" fontId="21" fillId="10" borderId="43" xfId="7" applyFont="1" applyFill="1" applyBorder="1" applyAlignment="1">
      <alignment horizontal="center" vertical="center" wrapText="1"/>
    </xf>
    <xf numFmtId="0" fontId="21" fillId="10" borderId="25" xfId="7" applyFont="1" applyFill="1" applyBorder="1" applyAlignment="1">
      <alignment horizontal="center" vertical="center" wrapText="1"/>
    </xf>
    <xf numFmtId="0" fontId="21" fillId="10" borderId="61" xfId="7" applyFont="1" applyFill="1" applyBorder="1" applyAlignment="1">
      <alignment horizontal="center" vertical="center" wrapText="1"/>
    </xf>
    <xf numFmtId="0" fontId="21" fillId="10" borderId="47" xfId="7" applyFont="1" applyFill="1" applyBorder="1" applyAlignment="1">
      <alignment horizontal="center" vertical="center" wrapText="1"/>
    </xf>
    <xf numFmtId="0" fontId="21" fillId="10" borderId="10" xfId="7" applyFont="1" applyFill="1" applyBorder="1" applyAlignment="1">
      <alignment horizontal="center" vertical="center" wrapText="1"/>
    </xf>
    <xf numFmtId="0" fontId="21" fillId="10" borderId="36" xfId="7" applyFont="1" applyFill="1" applyBorder="1" applyAlignment="1">
      <alignment horizontal="center" vertical="center" wrapText="1"/>
    </xf>
    <xf numFmtId="0" fontId="21" fillId="10" borderId="44" xfId="7" applyFont="1" applyFill="1" applyBorder="1" applyAlignment="1">
      <alignment horizontal="center" vertical="center" wrapText="1"/>
    </xf>
    <xf numFmtId="0" fontId="21" fillId="10" borderId="42" xfId="7" applyFont="1" applyFill="1" applyBorder="1" applyAlignment="1">
      <alignment horizontal="center" vertical="center" wrapText="1"/>
    </xf>
    <xf numFmtId="0" fontId="21" fillId="10" borderId="41" xfId="7" applyFont="1" applyFill="1" applyBorder="1" applyAlignment="1">
      <alignment horizontal="center" vertical="center" wrapText="1"/>
    </xf>
    <xf numFmtId="0" fontId="21" fillId="10" borderId="32" xfId="7" applyFont="1" applyFill="1" applyBorder="1" applyAlignment="1">
      <alignment horizontal="center" vertical="center" wrapText="1"/>
    </xf>
    <xf numFmtId="0" fontId="21" fillId="10" borderId="12" xfId="7" applyFont="1" applyFill="1" applyBorder="1" applyAlignment="1">
      <alignment horizontal="center" vertical="center" wrapText="1"/>
    </xf>
    <xf numFmtId="0" fontId="21" fillId="10" borderId="49" xfId="7" applyFont="1" applyFill="1" applyBorder="1" applyAlignment="1">
      <alignment horizontal="center" vertical="center" wrapText="1"/>
    </xf>
    <xf numFmtId="0" fontId="21" fillId="10" borderId="23" xfId="7" applyFont="1" applyFill="1" applyBorder="1" applyAlignment="1">
      <alignment horizontal="center" vertical="center" wrapText="1"/>
    </xf>
    <xf numFmtId="0" fontId="38" fillId="10" borderId="1" xfId="7" applyFont="1" applyFill="1" applyBorder="1" applyAlignment="1">
      <alignment horizontal="left" vertical="top" wrapText="1"/>
    </xf>
    <xf numFmtId="0" fontId="38" fillId="10" borderId="129" xfId="7" applyFont="1" applyFill="1" applyBorder="1" applyAlignment="1">
      <alignment horizontal="left" vertical="top" wrapText="1"/>
    </xf>
    <xf numFmtId="0" fontId="23" fillId="4" borderId="1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wrapText="1"/>
    </xf>
    <xf numFmtId="0" fontId="21" fillId="8" borderId="3" xfId="0" applyFont="1" applyFill="1" applyBorder="1" applyAlignment="1">
      <alignment horizontal="center" wrapText="1"/>
    </xf>
    <xf numFmtId="0" fontId="21" fillId="8" borderId="3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 wrapText="1"/>
    </xf>
    <xf numFmtId="0" fontId="21" fillId="16" borderId="3" xfId="0" applyFont="1" applyFill="1" applyBorder="1" applyAlignment="1">
      <alignment horizontal="center" wrapText="1"/>
    </xf>
    <xf numFmtId="0" fontId="21" fillId="9" borderId="3" xfId="0" applyFont="1" applyFill="1" applyBorder="1" applyAlignment="1">
      <alignment horizontal="center" wrapText="1"/>
    </xf>
    <xf numFmtId="0" fontId="21" fillId="9" borderId="3" xfId="0" applyFont="1" applyFill="1" applyBorder="1" applyAlignment="1">
      <alignment horizontal="center"/>
    </xf>
    <xf numFmtId="0" fontId="23" fillId="4" borderId="37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6" fillId="4" borderId="16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26" fillId="4" borderId="16" xfId="0" applyFont="1" applyFill="1" applyBorder="1" applyAlignment="1">
      <alignment horizontal="right" wrapText="1"/>
    </xf>
    <xf numFmtId="0" fontId="26" fillId="4" borderId="24" xfId="0" applyFont="1" applyFill="1" applyBorder="1" applyAlignment="1">
      <alignment horizontal="right" wrapText="1"/>
    </xf>
    <xf numFmtId="0" fontId="26" fillId="4" borderId="17" xfId="0" applyFont="1" applyFill="1" applyBorder="1" applyAlignment="1">
      <alignment horizontal="right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center"/>
    </xf>
    <xf numFmtId="0" fontId="26" fillId="4" borderId="16" xfId="0" applyFont="1" applyFill="1" applyBorder="1" applyAlignment="1">
      <alignment horizontal="center"/>
    </xf>
    <xf numFmtId="0" fontId="26" fillId="4" borderId="24" xfId="0" applyFont="1" applyFill="1" applyBorder="1" applyAlignment="1">
      <alignment horizontal="center"/>
    </xf>
    <xf numFmtId="0" fontId="26" fillId="4" borderId="17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</cellXfs>
  <cellStyles count="22">
    <cellStyle name="Dobry 2" xfId="21"/>
    <cellStyle name="Dobry 3" xfId="14"/>
    <cellStyle name="Dziesiętny" xfId="1" builtinId="3"/>
    <cellStyle name="Dziesiętny 2" xfId="2"/>
    <cellStyle name="Dziesiętny 2 2" xfId="3"/>
    <cellStyle name="Dziesiętny 2 2 2" xfId="19"/>
    <cellStyle name="Dziesiętny 2 2 3" xfId="12"/>
    <cellStyle name="Dziesiętny 2 3" xfId="18"/>
    <cellStyle name="Dziesiętny 2 4" xfId="11"/>
    <cellStyle name="Dziesiętny 3" xfId="4"/>
    <cellStyle name="Dziesiętny 3 2" xfId="20"/>
    <cellStyle name="Dziesiętny 3 3" xfId="13"/>
    <cellStyle name="Dziesiętny 4" xfId="17"/>
    <cellStyle name="Dziesiętny 5" xfId="10"/>
    <cellStyle name="Normal" xfId="9"/>
    <cellStyle name="Normalny" xfId="0" builtinId="0"/>
    <cellStyle name="Normalny 2" xfId="5"/>
    <cellStyle name="Normalny 2 2" xfId="16"/>
    <cellStyle name="Normalny 3" xfId="6"/>
    <cellStyle name="Normalny 4" xfId="15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691"/>
          <c:h val="0.87654532345998382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SUM_PGN!$C$5:$F$5</c:f>
              <c:numCache>
                <c:formatCode>_-* #,##0\ _z_ł_-;\-* #,##0\ _z_ł_-;_-* "-"??\ _z_ł_-;_-@_-</c:formatCode>
                <c:ptCount val="4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SUM_PGN!$C$6:$F$6</c:f>
              <c:numCache>
                <c:formatCode>_-* #,##0\ _z_ł_-;\-* #,##0\ _z_ł_-;_-* "-"??\ _z_ł_-;_-@_-</c:formatCode>
                <c:ptCount val="4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SUM_PGN!$C$7:$F$7</c:f>
              <c:numCache>
                <c:formatCode>_-* #,##0\ _z_ł_-;\-* #,##0\ _z_ł_-;_-* "-"??\ _z_ł_-;_-@_-</c:formatCode>
                <c:ptCount val="4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SUM_PGN!$C$8:$F$8</c:f>
              <c:numCache>
                <c:formatCode>_-* #,##0\ _z_ł_-;\-* #,##0\ _z_ł_-;_-* "-"??\ _z_ł_-;_-@_-</c:formatCode>
                <c:ptCount val="4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SUM_PGN!$C$9:$F$9</c:f>
              <c:numCache>
                <c:formatCode>_-* #,##0\ _z_ł_-;\-* #,##0\ _z_ł_-;_-* "-"??\ _z_ł_-;_-@_-</c:formatCode>
                <c:ptCount val="4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7"/>
          <c:order val="5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SUM_PGN!$C$11:$F$11</c:f>
              <c:numCache>
                <c:formatCode>_-* #,##0\ _z_ł_-;\-* #,##0\ _z_ł_-;_-* "-"??\ _z_ł_-;_-@_-</c:formatCode>
                <c:ptCount val="4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8"/>
          <c:order val="6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SUM_PGN!$C$13:$F$13</c:f>
              <c:numCache>
                <c:formatCode>_-* #,##0\ _z_ł_-;\-* #,##0\ _z_ł_-;_-* "-"??\ _z_ł_-;_-@_-</c:formatCode>
                <c:ptCount val="4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7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SUM_PGN!$C$4:$F$4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SUM_PGN!$C$14:$F$14</c:f>
              <c:numCache>
                <c:formatCode>_-* #,##0\ _z_ł_-;\-* #,##0\ _z_ł_-;_-* "-"??\ _z_ł_-;_-@_-</c:formatCode>
                <c:ptCount val="4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99501952"/>
        <c:axId val="99528704"/>
      </c:barChart>
      <c:catAx>
        <c:axId val="99501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528704"/>
        <c:crosses val="autoZero"/>
        <c:auto val="1"/>
        <c:lblAlgn val="ctr"/>
        <c:lblOffset val="100"/>
      </c:catAx>
      <c:valAx>
        <c:axId val="99528704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50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3.1118456079786239E-2"/>
          <c:y val="7.2345996648455924E-2"/>
          <c:w val="0.9322182640054435"/>
          <c:h val="0.64191208413435696"/>
        </c:manualLayout>
      </c:layout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SUM_PGN!$I$5:$K$5</c:f>
              <c:numCache>
                <c:formatCode>0.0%</c:formatCode>
                <c:ptCount val="3"/>
                <c:pt idx="0">
                  <c:v>0.36838253814093824</c:v>
                </c:pt>
                <c:pt idx="1">
                  <c:v>0.35754094299532718</c:v>
                </c:pt>
                <c:pt idx="2">
                  <c:v>0.31348967253828658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SUM_PGN!$I$6:$K$6</c:f>
              <c:numCache>
                <c:formatCode>0.0%</c:formatCode>
                <c:ptCount val="3"/>
                <c:pt idx="0">
                  <c:v>0.12089985561430258</c:v>
                </c:pt>
                <c:pt idx="1">
                  <c:v>0.25600304995613044</c:v>
                </c:pt>
                <c:pt idx="2">
                  <c:v>0.24753235407541527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671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SUM_PGN!$I$7:$K$7</c:f>
              <c:numCache>
                <c:formatCode>0.0%</c:formatCode>
                <c:ptCount val="3"/>
                <c:pt idx="0">
                  <c:v>9.6480326541781153E-3</c:v>
                </c:pt>
                <c:pt idx="1">
                  <c:v>7.6784346132332979E-3</c:v>
                </c:pt>
                <c:pt idx="2">
                  <c:v>6.2993537986830925E-3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SUM_PGN!$I$8:$K$8</c:f>
              <c:numCache>
                <c:formatCode>0.0%</c:formatCode>
                <c:ptCount val="3"/>
                <c:pt idx="0">
                  <c:v>9.4420990550147854E-2</c:v>
                </c:pt>
                <c:pt idx="1">
                  <c:v>0.21639475514174528</c:v>
                </c:pt>
                <c:pt idx="2">
                  <c:v>0.23818941578058778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671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647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647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SUM_PGN!$I$9:$K$9</c:f>
              <c:numCache>
                <c:formatCode>0.0%</c:formatCode>
                <c:ptCount val="3"/>
                <c:pt idx="0">
                  <c:v>2.4623099431267538E-2</c:v>
                </c:pt>
                <c:pt idx="1">
                  <c:v>1.5179230883425585E-2</c:v>
                </c:pt>
                <c:pt idx="2">
                  <c:v>1.5139761484561325E-2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dLbls>
            <c:dLbl>
              <c:idx val="1"/>
              <c:layout>
                <c:manualLayout>
                  <c:x val="1.7408967208222624E-2"/>
                  <c:y val="-7.863695287875643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48-48A8-877A-0F7B66BA59C2}"/>
                </c:ext>
              </c:extLst>
            </c:dLbl>
            <c:dLbl>
              <c:idx val="2"/>
              <c:layout>
                <c:manualLayout>
                  <c:x val="1.5668070487400376E-2"/>
                  <c:y val="-7.234599664845592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48-48A8-877A-0F7B66BA59C2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SUM_PGN!$I$10:$K$10</c:f>
              <c:numCache>
                <c:formatCode>0.0%</c:formatCode>
                <c:ptCount val="3"/>
                <c:pt idx="0">
                  <c:v>0</c:v>
                </c:pt>
                <c:pt idx="1">
                  <c:v>2.6307939859424416E-2</c:v>
                </c:pt>
                <c:pt idx="2">
                  <c:v>3.3284379043745982E-2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48-48A8-877A-0F7B66BA59C2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74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SUM_PGN!$I$4:$K$4</c:f>
              <c:numCache>
                <c:formatCode>General</c:formatCode>
                <c:ptCount val="3"/>
                <c:pt idx="0">
                  <c:v>1990</c:v>
                </c:pt>
                <c:pt idx="1">
                  <c:v>2013</c:v>
                </c:pt>
                <c:pt idx="2">
                  <c:v>2015</c:v>
                </c:pt>
              </c:numCache>
            </c:numRef>
          </c:cat>
          <c:val>
            <c:numRef>
              <c:f>SUM_PGN!$I$11:$K$11</c:f>
              <c:numCache>
                <c:formatCode>0.0%</c:formatCode>
                <c:ptCount val="3"/>
                <c:pt idx="0">
                  <c:v>0.29912155866070606</c:v>
                </c:pt>
                <c:pt idx="1">
                  <c:v>0.11794036958886719</c:v>
                </c:pt>
                <c:pt idx="2">
                  <c:v>0.14327004483342906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val>
            <c:numRef>
              <c:f>SUM_PGN!$I$12:$K$12</c:f>
              <c:numCache>
                <c:formatCode>0.0%</c:formatCode>
                <c:ptCount val="3"/>
                <c:pt idx="0">
                  <c:v>3.503400267626612E-5</c:v>
                </c:pt>
                <c:pt idx="1">
                  <c:v>2.2290969307863106E-5</c:v>
                </c:pt>
                <c:pt idx="2">
                  <c:v>2.5818947680719139E-5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48-48A8-877A-0F7B66BA59C2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654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253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SUM_PGN!$I$13:$K$13</c:f>
              <c:numCache>
                <c:formatCode>0.0%</c:formatCode>
                <c:ptCount val="3"/>
                <c:pt idx="0">
                  <c:v>8.0989907512305948E-2</c:v>
                </c:pt>
                <c:pt idx="1">
                  <c:v>3.8471455379684148E-3</c:v>
                </c:pt>
                <c:pt idx="2">
                  <c:v>3.9754137897121825E-3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6568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4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395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SUM_PGN!$I$14:$K$14</c:f>
              <c:numCache>
                <c:formatCode>0.0%</c:formatCode>
                <c:ptCount val="3"/>
                <c:pt idx="0">
                  <c:v>1.8789834334773734E-3</c:v>
                </c:pt>
                <c:pt idx="1">
                  <c:v>-9.1415954542968482E-4</c:v>
                </c:pt>
                <c:pt idx="2">
                  <c:v>-1.2062142921019604E-3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99866880"/>
        <c:axId val="99872768"/>
      </c:barChart>
      <c:catAx>
        <c:axId val="998668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72768"/>
        <c:crosses val="autoZero"/>
        <c:lblAlgn val="ctr"/>
        <c:lblOffset val="100"/>
      </c:catAx>
      <c:valAx>
        <c:axId val="99872768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66880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809E-2"/>
          <c:w val="0.49498368175794744"/>
          <c:h val="0.86666892361699044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SUM_PGN!$C$20:$F$20</c:f>
              <c:numCache>
                <c:formatCode>#,##0</c:formatCode>
                <c:ptCount val="4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 formatCode="_-* #,##0\ _z_ł_-;\-* #,##0\ _z_ł_-;_-* &quot;-&quot;??\ _z_ł_-;_-@_-">
                  <c:v>346184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SUM_PGN!$C$21:$F$21</c:f>
              <c:numCache>
                <c:formatCode>#,##0</c:formatCode>
                <c:ptCount val="4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miejski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SUM_PGN!$C$22:$F$22</c:f>
              <c:numCache>
                <c:formatCode>#,##0</c:formatCode>
                <c:ptCount val="4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SUM_PGN!$C$23:$F$23</c:f>
              <c:numCache>
                <c:formatCode>#,##0</c:formatCode>
                <c:ptCount val="4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 formatCode="_-* #,##0\ _z_ł_-;\-* #,##0\ _z_ł_-;_-* &quot;-&quot;??\ _z_ł_-;_-@_-">
                  <c:v>59215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SUM_PGN!$C$24:$F$24</c:f>
              <c:numCache>
                <c:formatCode>#,##0</c:formatCode>
                <c:ptCount val="4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 formatCode="_-* #,##0\ _z_ł_-;\-* #,##0\ _z_ł_-;_-* &quot;-&quot;??\ _z_ł_-;_-@_-">
                  <c:v>9008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SUM_PGN!$C$25:$F$25</c:f>
              <c:numCache>
                <c:formatCode>#,##0</c:formatCode>
                <c:ptCount val="4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 formatCode="_-* #,##0\ _z_ł_-;\-* #,##0\ _z_ł_-;_-* &quot;-&quot;??\ _z_ł_-;_-@_-">
                  <c:v>554497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SUM_PGN!$C$26:$F$26</c:f>
              <c:numCache>
                <c:formatCode>#,##0</c:formatCode>
                <c:ptCount val="4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 formatCode="_-* #,##0\ _z_ł_-;\-* #,##0\ _z_ł_-;_-* &quot;-&quot;??\ _z_ł_-;_-@_-">
                  <c:v>410134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7"/>
          <c:order val="7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SUM_PGN!$C$28:$F$28</c:f>
              <c:numCache>
                <c:formatCode>#,##0</c:formatCode>
                <c:ptCount val="4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 formatCode="_-* #,##0\ _z_ł_-;\-* #,##0\ _z_ł_-;_-* &quot;-&quot;??\ _z_ł_-;_-@_-">
                  <c:v>32153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8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SUM_PGN!$C$29:$F$29</c:f>
              <c:numCache>
                <c:formatCode>#,##0</c:formatCode>
                <c:ptCount val="4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 formatCode="_-* #,##0\ _z_ł_-;\-* #,##0\ _z_ł_-;_-* &quot;-&quot;??\ _z_ł_-;_-@_-">
                  <c:v>219519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9"/>
          <c:order val="9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SUM_PGN!$C$31:$F$31</c:f>
              <c:numCache>
                <c:formatCode>#,##0</c:formatCode>
                <c:ptCount val="4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 formatCode="_-* #,##0\ _z_ł_-;\-* #,##0\ _z_ł_-;_-* &quot;-&quot;??\ _z_ł_-;_-@_-">
                  <c:v>1783381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0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SUM_PGN!$C$19:$F$19</c:f>
              <c:numCache>
                <c:formatCode>General</c:formatCode>
                <c:ptCount val="4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SUM_PGN!$C$32:$F$32</c:f>
              <c:numCache>
                <c:formatCode>#,##0</c:formatCode>
                <c:ptCount val="4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 formatCode="_-* #,##0\ _z_ł_-;\-* #,##0\ _z_ł_-;_-* &quot;-&quot;??\ _z_ł_-;_-@_-">
                  <c:v>680954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1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SUM_PGN!$C$36:$F$36</c:f>
              <c:numCache>
                <c:formatCode>_-* #,##0\ _z_ł_-;\-* #,##0\ _z_ł_-;_-* "-"??\ _z_ł_-;_-@_-</c:formatCode>
                <c:ptCount val="4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101027840"/>
        <c:axId val="101029760"/>
      </c:barChart>
      <c:catAx>
        <c:axId val="1010278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29760"/>
        <c:crosses val="autoZero"/>
        <c:auto val="1"/>
        <c:lblAlgn val="ctr"/>
        <c:lblOffset val="100"/>
      </c:catAx>
      <c:valAx>
        <c:axId val="10102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2784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999354731821332"/>
          <c:h val="0.7209661592300962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229659</xdr:colOff>
      <xdr:row>43</xdr:row>
      <xdr:rowOff>74084</xdr:rowOff>
    </xdr:from>
    <xdr:to>
      <xdr:col>6</xdr:col>
      <xdr:colOff>573617</xdr:colOff>
      <xdr:row>65</xdr:row>
      <xdr:rowOff>130176</xdr:rowOff>
    </xdr:to>
    <xdr:graphicFrame macro="">
      <xdr:nvGraphicFramePr>
        <xdr:cNvPr id="9221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411691</xdr:colOff>
      <xdr:row>2</xdr:row>
      <xdr:rowOff>174624</xdr:rowOff>
    </xdr:from>
    <xdr:to>
      <xdr:col>21</xdr:col>
      <xdr:colOff>605367</xdr:colOff>
      <xdr:row>23</xdr:row>
      <xdr:rowOff>137582</xdr:rowOff>
    </xdr:to>
    <xdr:graphicFrame macro="">
      <xdr:nvGraphicFramePr>
        <xdr:cNvPr id="9222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294217</xdr:colOff>
      <xdr:row>25</xdr:row>
      <xdr:rowOff>83608</xdr:rowOff>
    </xdr:from>
    <xdr:to>
      <xdr:col>20</xdr:col>
      <xdr:colOff>412750</xdr:colOff>
      <xdr:row>49</xdr:row>
      <xdr:rowOff>10583</xdr:rowOff>
    </xdr:to>
    <xdr:graphicFrame macro="">
      <xdr:nvGraphicFramePr>
        <xdr:cNvPr id="922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personal/tpawelec_futurbis_eu/Documents/WRO/SECAP/materialy/Obliczenie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10" sqref="B10"/>
    </sheetView>
  </sheetViews>
  <sheetFormatPr defaultRowHeight="15"/>
  <cols>
    <col min="1" max="1" width="9.140625" style="3"/>
    <col min="2" max="2" width="11.5703125" style="243" customWidth="1"/>
    <col min="3" max="3" width="9.140625" style="243"/>
    <col min="4" max="4" width="88.28515625" style="244" customWidth="1"/>
    <col min="5" max="16384" width="9.140625" style="3"/>
  </cols>
  <sheetData>
    <row r="1" spans="1:4" ht="18.75">
      <c r="A1" s="245" t="s">
        <v>225</v>
      </c>
    </row>
    <row r="3" spans="1:4">
      <c r="B3" s="241" t="s">
        <v>223</v>
      </c>
      <c r="C3" s="241" t="s">
        <v>221</v>
      </c>
      <c r="D3" s="240" t="s">
        <v>222</v>
      </c>
    </row>
    <row r="4" spans="1:4">
      <c r="B4" s="242">
        <v>42172</v>
      </c>
      <c r="C4" s="243" t="s">
        <v>224</v>
      </c>
      <c r="D4" s="246" t="s">
        <v>220</v>
      </c>
    </row>
    <row r="5" spans="1:4">
      <c r="B5" s="242">
        <v>42326</v>
      </c>
      <c r="C5" s="243" t="s">
        <v>224</v>
      </c>
      <c r="D5" s="246" t="s">
        <v>344</v>
      </c>
    </row>
    <row r="6" spans="1:4">
      <c r="B6" s="242">
        <v>42498</v>
      </c>
      <c r="C6" s="243" t="s">
        <v>224</v>
      </c>
      <c r="D6" s="246" t="s">
        <v>345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7" t="s">
        <v>59</v>
      </c>
      <c r="B1" s="117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617" t="s">
        <v>130</v>
      </c>
      <c r="F4" s="616" t="s">
        <v>122</v>
      </c>
      <c r="G4" s="617"/>
      <c r="H4" s="617" t="s">
        <v>132</v>
      </c>
      <c r="I4" s="617"/>
      <c r="J4" s="92" t="s">
        <v>136</v>
      </c>
      <c r="K4" s="618" t="s">
        <v>133</v>
      </c>
      <c r="L4" s="616" t="s">
        <v>138</v>
      </c>
      <c r="M4" s="617"/>
      <c r="N4" s="618"/>
      <c r="O4" s="616" t="s">
        <v>137</v>
      </c>
      <c r="P4" s="617"/>
      <c r="Q4" s="617"/>
      <c r="R4" s="618"/>
    </row>
    <row r="5" spans="1:18">
      <c r="B5" s="93"/>
      <c r="C5" s="29"/>
      <c r="D5" s="29"/>
      <c r="E5" s="619"/>
      <c r="F5" s="107" t="s">
        <v>131</v>
      </c>
      <c r="G5" s="87" t="s">
        <v>135</v>
      </c>
      <c r="H5" s="87" t="s">
        <v>131</v>
      </c>
      <c r="I5" s="87" t="s">
        <v>135</v>
      </c>
      <c r="J5" s="87"/>
      <c r="K5" s="620"/>
      <c r="L5" s="107" t="s">
        <v>134</v>
      </c>
      <c r="M5" s="87" t="s">
        <v>111</v>
      </c>
      <c r="N5" s="94" t="s">
        <v>125</v>
      </c>
      <c r="O5" s="107" t="s">
        <v>134</v>
      </c>
      <c r="P5" s="87" t="s">
        <v>111</v>
      </c>
      <c r="Q5" s="87" t="s">
        <v>125</v>
      </c>
      <c r="R5" s="110" t="s">
        <v>109</v>
      </c>
    </row>
    <row r="6" spans="1:18">
      <c r="B6" s="20" t="s">
        <v>26</v>
      </c>
      <c r="C6" s="100" t="s">
        <v>46</v>
      </c>
      <c r="D6" s="101"/>
      <c r="E6" s="104"/>
      <c r="F6" s="108"/>
      <c r="G6" s="102"/>
      <c r="H6" s="102"/>
      <c r="I6" s="102"/>
      <c r="J6" s="104"/>
      <c r="K6" s="103"/>
      <c r="L6" s="108"/>
      <c r="M6" s="102"/>
      <c r="N6" s="103"/>
      <c r="O6" s="108"/>
      <c r="P6" s="102"/>
      <c r="Q6" s="104"/>
      <c r="R6" s="111"/>
    </row>
    <row r="7" spans="1:18">
      <c r="B7" s="20" t="s">
        <v>49</v>
      </c>
      <c r="C7" s="14"/>
      <c r="D7" s="101" t="s">
        <v>47</v>
      </c>
      <c r="E7" s="104"/>
      <c r="F7" s="108"/>
      <c r="G7" s="102"/>
      <c r="H7" s="102"/>
      <c r="I7" s="102"/>
      <c r="J7" s="104"/>
      <c r="K7" s="103"/>
      <c r="L7" s="108"/>
      <c r="M7" s="102"/>
      <c r="N7" s="103"/>
      <c r="O7" s="108"/>
      <c r="P7" s="102"/>
      <c r="Q7" s="104"/>
      <c r="R7" s="111"/>
    </row>
    <row r="8" spans="1:18">
      <c r="B8" s="97"/>
      <c r="C8" s="95"/>
      <c r="D8" s="95"/>
      <c r="E8" s="105" t="s">
        <v>85</v>
      </c>
      <c r="F8" s="97">
        <v>1.887</v>
      </c>
      <c r="G8" s="95" t="e">
        <f>VLOOKUP(E8,#REF!,2,FALSE)</f>
        <v>#REF!</v>
      </c>
      <c r="H8" s="95" t="e">
        <f>VLOOKUP(E8,#REF!,3,FALSE)</f>
        <v>#REF!</v>
      </c>
      <c r="I8" s="95" t="e">
        <f>VLOOKUP(E8,#REF!,4,FALSE)</f>
        <v>#REF!</v>
      </c>
      <c r="J8" s="105" t="e">
        <f>VLOOKUP(E8,#REF!,5,FALSE)</f>
        <v>#REF!</v>
      </c>
      <c r="K8" s="96" t="e">
        <f>F8*J8*H8</f>
        <v>#REF!</v>
      </c>
      <c r="L8" s="97" t="e">
        <f>VLOOKUP(E8,#REF!,7,FALSE)</f>
        <v>#REF!</v>
      </c>
      <c r="M8" s="95" t="e">
        <f>VLOOKUP(E8,#REF!,9,FALSE)</f>
        <v>#REF!</v>
      </c>
      <c r="N8" s="96" t="e">
        <f>VLOOKUP(E8,#REF!,11,FALSE)</f>
        <v>#REF!</v>
      </c>
      <c r="O8" s="97" t="e">
        <f>ROUND(K8*L8/1000,0)</f>
        <v>#REF!</v>
      </c>
      <c r="P8" s="95" t="e">
        <f>ROUND(M8*K8/1000,3)</f>
        <v>#REF!</v>
      </c>
      <c r="Q8" s="105" t="e">
        <f>ROUND(K8*N8/1000,3)</f>
        <v>#REF!</v>
      </c>
      <c r="R8" s="112" t="e">
        <f t="shared" ref="R8:R14" si="0">ROUND(O8+P8*GWP_CH4+Q8*GWP_N2O,0)</f>
        <v>#REF!</v>
      </c>
    </row>
    <row r="9" spans="1:18">
      <c r="B9" s="97"/>
      <c r="C9" s="95"/>
      <c r="D9" s="95"/>
      <c r="E9" s="105" t="s">
        <v>84</v>
      </c>
      <c r="F9" s="97">
        <v>4.109</v>
      </c>
      <c r="G9" s="95" t="e">
        <f>VLOOKUP(E9,#REF!,2,FALSE)</f>
        <v>#REF!</v>
      </c>
      <c r="H9" s="95" t="e">
        <f>VLOOKUP(E9,#REF!,3,FALSE)</f>
        <v>#REF!</v>
      </c>
      <c r="I9" s="95" t="e">
        <f>VLOOKUP(E9,#REF!,4,FALSE)</f>
        <v>#REF!</v>
      </c>
      <c r="J9" s="105" t="e">
        <f>VLOOKUP(E9,#REF!,5,FALSE)</f>
        <v>#REF!</v>
      </c>
      <c r="K9" s="96" t="e">
        <f t="shared" ref="K9:K14" si="1">F9*J9*H9</f>
        <v>#REF!</v>
      </c>
      <c r="L9" s="97" t="e">
        <f>VLOOKUP(E9,#REF!,7,FALSE)</f>
        <v>#REF!</v>
      </c>
      <c r="M9" s="95" t="e">
        <f>VLOOKUP(E9,#REF!,9,FALSE)</f>
        <v>#REF!</v>
      </c>
      <c r="N9" s="96" t="e">
        <f>VLOOKUP(E9,#REF!,11,FALSE)</f>
        <v>#REF!</v>
      </c>
      <c r="O9" s="97" t="e">
        <f t="shared" ref="O9:O14" si="2">ROUND(K9*L9/1000,0)</f>
        <v>#REF!</v>
      </c>
      <c r="P9" s="95" t="e">
        <f t="shared" ref="P9:P14" si="3">ROUND(M9*K9/1000,3)</f>
        <v>#REF!</v>
      </c>
      <c r="Q9" s="105" t="e">
        <f t="shared" ref="Q9:Q14" si="4">ROUND(K9*N9/1000,3)</f>
        <v>#REF!</v>
      </c>
      <c r="R9" s="112" t="e">
        <f t="shared" si="0"/>
        <v>#REF!</v>
      </c>
    </row>
    <row r="10" spans="1:18">
      <c r="B10" s="97"/>
      <c r="C10" s="95"/>
      <c r="D10" s="95"/>
      <c r="E10" s="105" t="s">
        <v>83</v>
      </c>
      <c r="F10" s="97"/>
      <c r="G10" s="95" t="e">
        <f>VLOOKUP(E10,#REF!,2,FALSE)</f>
        <v>#REF!</v>
      </c>
      <c r="H10" s="95" t="e">
        <f>VLOOKUP(E10,#REF!,3,FALSE)</f>
        <v>#REF!</v>
      </c>
      <c r="I10" s="95" t="e">
        <f>VLOOKUP(E10,#REF!,4,FALSE)</f>
        <v>#REF!</v>
      </c>
      <c r="J10" s="105" t="e">
        <f>VLOOKUP(E10,#REF!,5,FALSE)</f>
        <v>#REF!</v>
      </c>
      <c r="K10" s="96" t="e">
        <f t="shared" si="1"/>
        <v>#REF!</v>
      </c>
      <c r="L10" s="97" t="e">
        <f>VLOOKUP(E10,#REF!,7,FALSE)</f>
        <v>#REF!</v>
      </c>
      <c r="M10" s="95" t="e">
        <f>VLOOKUP(E10,#REF!,9,FALSE)</f>
        <v>#REF!</v>
      </c>
      <c r="N10" s="96" t="e">
        <f>VLOOKUP(E10,#REF!,11,FALSE)</f>
        <v>#REF!</v>
      </c>
      <c r="O10" s="97" t="e">
        <f t="shared" si="2"/>
        <v>#REF!</v>
      </c>
      <c r="P10" s="95" t="e">
        <f t="shared" si="3"/>
        <v>#REF!</v>
      </c>
      <c r="Q10" s="105" t="e">
        <f t="shared" si="4"/>
        <v>#REF!</v>
      </c>
      <c r="R10" s="112" t="e">
        <f t="shared" si="0"/>
        <v>#REF!</v>
      </c>
    </row>
    <row r="11" spans="1:18">
      <c r="B11" s="97"/>
      <c r="C11" s="95"/>
      <c r="D11" s="95"/>
      <c r="E11" s="105" t="s">
        <v>80</v>
      </c>
      <c r="F11" s="97"/>
      <c r="G11" s="95" t="e">
        <f>VLOOKUP(E11,#REF!,2,FALSE)</f>
        <v>#REF!</v>
      </c>
      <c r="H11" s="95" t="e">
        <f>VLOOKUP(E11,#REF!,3,FALSE)</f>
        <v>#REF!</v>
      </c>
      <c r="I11" s="95" t="e">
        <f>VLOOKUP(E11,#REF!,4,FALSE)</f>
        <v>#REF!</v>
      </c>
      <c r="J11" s="105" t="e">
        <f>VLOOKUP(E11,#REF!,5,FALSE)</f>
        <v>#REF!</v>
      </c>
      <c r="K11" s="96" t="e">
        <f t="shared" si="1"/>
        <v>#REF!</v>
      </c>
      <c r="L11" s="97" t="e">
        <f>VLOOKUP(E11,#REF!,7,FALSE)</f>
        <v>#REF!</v>
      </c>
      <c r="M11" s="95" t="e">
        <f>VLOOKUP(E11,#REF!,9,FALSE)</f>
        <v>#REF!</v>
      </c>
      <c r="N11" s="96" t="e">
        <f>VLOOKUP(E11,#REF!,11,FALSE)</f>
        <v>#REF!</v>
      </c>
      <c r="O11" s="97" t="e">
        <f t="shared" si="2"/>
        <v>#REF!</v>
      </c>
      <c r="P11" s="95" t="e">
        <f t="shared" si="3"/>
        <v>#REF!</v>
      </c>
      <c r="Q11" s="105" t="e">
        <f t="shared" si="4"/>
        <v>#REF!</v>
      </c>
      <c r="R11" s="112" t="e">
        <f t="shared" si="0"/>
        <v>#REF!</v>
      </c>
    </row>
    <row r="12" spans="1:18">
      <c r="B12" s="97"/>
      <c r="C12" s="95"/>
      <c r="D12" s="95"/>
      <c r="E12" s="105" t="s">
        <v>161</v>
      </c>
      <c r="F12" s="97"/>
      <c r="G12" s="95" t="e">
        <f>VLOOKUP(E12,#REF!,2,FALSE)</f>
        <v>#REF!</v>
      </c>
      <c r="H12" s="95" t="e">
        <f>VLOOKUP(E12,#REF!,3,FALSE)</f>
        <v>#REF!</v>
      </c>
      <c r="I12" s="95" t="e">
        <f>VLOOKUP(E12,#REF!,4,FALSE)</f>
        <v>#REF!</v>
      </c>
      <c r="J12" s="105" t="e">
        <f>VLOOKUP(E12,#REF!,5,FALSE)</f>
        <v>#REF!</v>
      </c>
      <c r="K12" s="96" t="e">
        <f t="shared" si="1"/>
        <v>#REF!</v>
      </c>
      <c r="L12" s="97" t="e">
        <f>VLOOKUP(E12,#REF!,7,FALSE)</f>
        <v>#REF!</v>
      </c>
      <c r="M12" s="95" t="e">
        <f>VLOOKUP(E12,#REF!,9,FALSE)</f>
        <v>#REF!</v>
      </c>
      <c r="N12" s="96" t="e">
        <f>VLOOKUP(E12,#REF!,11,FALSE)</f>
        <v>#REF!</v>
      </c>
      <c r="O12" s="97" t="e">
        <f t="shared" si="2"/>
        <v>#REF!</v>
      </c>
      <c r="P12" s="95" t="e">
        <f t="shared" si="3"/>
        <v>#REF!</v>
      </c>
      <c r="Q12" s="105" t="e">
        <f t="shared" si="4"/>
        <v>#REF!</v>
      </c>
      <c r="R12" s="112" t="e">
        <f t="shared" si="0"/>
        <v>#REF!</v>
      </c>
    </row>
    <row r="13" spans="1:18">
      <c r="B13" s="97"/>
      <c r="C13" s="95"/>
      <c r="D13" s="95"/>
      <c r="E13" s="105" t="s">
        <v>160</v>
      </c>
      <c r="F13" s="97"/>
      <c r="G13" s="95" t="e">
        <f>VLOOKUP(E13,#REF!,2,FALSE)</f>
        <v>#REF!</v>
      </c>
      <c r="H13" s="95" t="e">
        <f>VLOOKUP(E13,#REF!,3,FALSE)</f>
        <v>#REF!</v>
      </c>
      <c r="I13" s="95" t="e">
        <f>VLOOKUP(E13,#REF!,4,FALSE)</f>
        <v>#REF!</v>
      </c>
      <c r="J13" s="105" t="e">
        <f>VLOOKUP(E13,#REF!,5,FALSE)</f>
        <v>#REF!</v>
      </c>
      <c r="K13" s="96" t="e">
        <f t="shared" si="1"/>
        <v>#REF!</v>
      </c>
      <c r="L13" s="97" t="e">
        <f>VLOOKUP(E13,#REF!,7,FALSE)</f>
        <v>#REF!</v>
      </c>
      <c r="M13" s="95" t="e">
        <f>VLOOKUP(E13,#REF!,9,FALSE)</f>
        <v>#REF!</v>
      </c>
      <c r="N13" s="96" t="e">
        <f>VLOOKUP(E13,#REF!,11,FALSE)</f>
        <v>#REF!</v>
      </c>
      <c r="O13" s="97" t="e">
        <f t="shared" si="2"/>
        <v>#REF!</v>
      </c>
      <c r="P13" s="95" t="e">
        <f t="shared" si="3"/>
        <v>#REF!</v>
      </c>
      <c r="Q13" s="105" t="e">
        <f t="shared" si="4"/>
        <v>#REF!</v>
      </c>
      <c r="R13" s="112" t="e">
        <f t="shared" si="0"/>
        <v>#REF!</v>
      </c>
    </row>
    <row r="14" spans="1:18">
      <c r="B14" s="97"/>
      <c r="C14" s="95"/>
      <c r="D14" s="95"/>
      <c r="E14" s="105" t="s">
        <v>77</v>
      </c>
      <c r="F14" s="97"/>
      <c r="G14" s="95" t="e">
        <f>VLOOKUP(E14,#REF!,2,FALSE)</f>
        <v>#REF!</v>
      </c>
      <c r="H14" s="95" t="e">
        <f>VLOOKUP(E14,#REF!,3,FALSE)</f>
        <v>#REF!</v>
      </c>
      <c r="I14" s="95" t="e">
        <f>VLOOKUP(E14,#REF!,4,FALSE)</f>
        <v>#REF!</v>
      </c>
      <c r="J14" s="105" t="e">
        <f>VLOOKUP(E14,#REF!,5,FALSE)</f>
        <v>#REF!</v>
      </c>
      <c r="K14" s="96" t="e">
        <f t="shared" si="1"/>
        <v>#REF!</v>
      </c>
      <c r="L14" s="97" t="e">
        <f>VLOOKUP(E14,#REF!,7,FALSE)</f>
        <v>#REF!</v>
      </c>
      <c r="M14" s="95" t="e">
        <f>VLOOKUP(E14,#REF!,9,FALSE)</f>
        <v>#REF!</v>
      </c>
      <c r="N14" s="96" t="e">
        <f>VLOOKUP(E14,#REF!,11,FALSE)</f>
        <v>#REF!</v>
      </c>
      <c r="O14" s="97" t="e">
        <f t="shared" si="2"/>
        <v>#REF!</v>
      </c>
      <c r="P14" s="95" t="e">
        <f t="shared" si="3"/>
        <v>#REF!</v>
      </c>
      <c r="Q14" s="105" t="e">
        <f t="shared" si="4"/>
        <v>#REF!</v>
      </c>
      <c r="R14" s="112" t="e">
        <f t="shared" si="0"/>
        <v>#REF!</v>
      </c>
    </row>
    <row r="15" spans="1:18">
      <c r="B15" s="20" t="s">
        <v>50</v>
      </c>
      <c r="C15" s="14"/>
      <c r="D15" s="101" t="s">
        <v>68</v>
      </c>
      <c r="E15" s="104"/>
      <c r="F15" s="108"/>
      <c r="G15" s="102"/>
      <c r="H15" s="102"/>
      <c r="I15" s="102"/>
      <c r="J15" s="104"/>
      <c r="K15" s="103"/>
      <c r="L15" s="108"/>
      <c r="M15" s="102"/>
      <c r="N15" s="103"/>
      <c r="O15" s="108"/>
      <c r="P15" s="102"/>
      <c r="Q15" s="104"/>
      <c r="R15" s="111"/>
    </row>
    <row r="16" spans="1:18">
      <c r="B16" s="97"/>
      <c r="C16" s="95"/>
      <c r="D16" s="95"/>
      <c r="E16" s="105" t="s">
        <v>85</v>
      </c>
      <c r="F16" s="97">
        <v>0</v>
      </c>
      <c r="G16" s="95" t="e">
        <f>VLOOKUP(E16,#REF!,2,FALSE)</f>
        <v>#REF!</v>
      </c>
      <c r="H16" s="95" t="e">
        <f>VLOOKUP(E16,#REF!,3,FALSE)</f>
        <v>#REF!</v>
      </c>
      <c r="I16" s="95" t="e">
        <f>VLOOKUP(E16,#REF!,4,FALSE)</f>
        <v>#REF!</v>
      </c>
      <c r="J16" s="105" t="e">
        <f>VLOOKUP(E16,#REF!,5,FALSE)</f>
        <v>#REF!</v>
      </c>
      <c r="K16" s="96" t="e">
        <f t="shared" ref="K16:K22" si="5">F16*J16*H16</f>
        <v>#REF!</v>
      </c>
      <c r="L16" s="97" t="e">
        <f>VLOOKUP(E16,#REF!,7,FALSE)</f>
        <v>#REF!</v>
      </c>
      <c r="M16" s="95" t="e">
        <f>VLOOKUP(E16,#REF!,9,FALSE)</f>
        <v>#REF!</v>
      </c>
      <c r="N16" s="96" t="e">
        <f>VLOOKUP(E16,#REF!,11,FALSE)</f>
        <v>#REF!</v>
      </c>
      <c r="O16" s="97" t="e">
        <f t="shared" ref="O16:O22" si="6">ROUND(K16*L16/1000,0)</f>
        <v>#REF!</v>
      </c>
      <c r="P16" s="95" t="e">
        <f t="shared" ref="P16:P22" si="7">ROUND(M16*K16/1000,3)</f>
        <v>#REF!</v>
      </c>
      <c r="Q16" s="105" t="e">
        <f t="shared" ref="Q16:Q22" si="8">ROUND(K16*N16/1000,3)</f>
        <v>#REF!</v>
      </c>
      <c r="R16" s="112" t="e">
        <f t="shared" ref="R16:R22" si="9">ROUND(O16+P16*GWP_CH4+Q16*GWP_N2O,0)</f>
        <v>#REF!</v>
      </c>
    </row>
    <row r="17" spans="2:18">
      <c r="B17" s="97"/>
      <c r="C17" s="95"/>
      <c r="D17" s="95"/>
      <c r="E17" s="105" t="s">
        <v>84</v>
      </c>
      <c r="F17" s="97">
        <v>11056.992</v>
      </c>
      <c r="G17" s="95" t="e">
        <f>VLOOKUP(E17,#REF!,2,FALSE)</f>
        <v>#REF!</v>
      </c>
      <c r="H17" s="95" t="e">
        <f>VLOOKUP(E17,#REF!,3,FALSE)</f>
        <v>#REF!</v>
      </c>
      <c r="I17" s="95" t="e">
        <f>VLOOKUP(E17,#REF!,4,FALSE)</f>
        <v>#REF!</v>
      </c>
      <c r="J17" s="105" t="e">
        <f>VLOOKUP(E17,#REF!,5,FALSE)</f>
        <v>#REF!</v>
      </c>
      <c r="K17" s="96" t="e">
        <f t="shared" si="5"/>
        <v>#REF!</v>
      </c>
      <c r="L17" s="97" t="e">
        <f>VLOOKUP(E17,#REF!,7,FALSE)</f>
        <v>#REF!</v>
      </c>
      <c r="M17" s="95" t="e">
        <f>VLOOKUP(E17,#REF!,9,FALSE)</f>
        <v>#REF!</v>
      </c>
      <c r="N17" s="96" t="e">
        <f>VLOOKUP(E17,#REF!,11,FALSE)</f>
        <v>#REF!</v>
      </c>
      <c r="O17" s="97" t="e">
        <f t="shared" si="6"/>
        <v>#REF!</v>
      </c>
      <c r="P17" s="95" t="e">
        <f t="shared" si="7"/>
        <v>#REF!</v>
      </c>
      <c r="Q17" s="105" t="e">
        <f t="shared" si="8"/>
        <v>#REF!</v>
      </c>
      <c r="R17" s="112" t="e">
        <f t="shared" si="9"/>
        <v>#REF!</v>
      </c>
    </row>
    <row r="18" spans="2:18">
      <c r="B18" s="97"/>
      <c r="C18" s="95"/>
      <c r="D18" s="95"/>
      <c r="E18" s="105" t="s">
        <v>83</v>
      </c>
      <c r="F18" s="97">
        <v>0</v>
      </c>
      <c r="G18" s="95" t="e">
        <f>VLOOKUP(E18,#REF!,2,FALSE)</f>
        <v>#REF!</v>
      </c>
      <c r="H18" s="95" t="e">
        <f>VLOOKUP(E18,#REF!,3,FALSE)</f>
        <v>#REF!</v>
      </c>
      <c r="I18" s="95" t="e">
        <f>VLOOKUP(E18,#REF!,4,FALSE)</f>
        <v>#REF!</v>
      </c>
      <c r="J18" s="105" t="e">
        <f>VLOOKUP(E18,#REF!,5,FALSE)</f>
        <v>#REF!</v>
      </c>
      <c r="K18" s="96" t="e">
        <f t="shared" si="5"/>
        <v>#REF!</v>
      </c>
      <c r="L18" s="97" t="e">
        <f>VLOOKUP(E18,#REF!,7,FALSE)</f>
        <v>#REF!</v>
      </c>
      <c r="M18" s="95" t="e">
        <f>VLOOKUP(E18,#REF!,9,FALSE)</f>
        <v>#REF!</v>
      </c>
      <c r="N18" s="96" t="e">
        <f>VLOOKUP(E18,#REF!,11,FALSE)</f>
        <v>#REF!</v>
      </c>
      <c r="O18" s="97" t="e">
        <f t="shared" si="6"/>
        <v>#REF!</v>
      </c>
      <c r="P18" s="95" t="e">
        <f t="shared" si="7"/>
        <v>#REF!</v>
      </c>
      <c r="Q18" s="105" t="e">
        <f t="shared" si="8"/>
        <v>#REF!</v>
      </c>
      <c r="R18" s="112" t="e">
        <f t="shared" si="9"/>
        <v>#REF!</v>
      </c>
    </row>
    <row r="19" spans="2:18">
      <c r="B19" s="97"/>
      <c r="C19" s="95"/>
      <c r="D19" s="95"/>
      <c r="E19" s="105" t="s">
        <v>80</v>
      </c>
      <c r="F19" s="97">
        <v>0</v>
      </c>
      <c r="G19" s="95" t="e">
        <f>VLOOKUP(E19,#REF!,2,FALSE)</f>
        <v>#REF!</v>
      </c>
      <c r="H19" s="95" t="e">
        <f>VLOOKUP(E19,#REF!,3,FALSE)</f>
        <v>#REF!</v>
      </c>
      <c r="I19" s="95" t="e">
        <f>VLOOKUP(E19,#REF!,4,FALSE)</f>
        <v>#REF!</v>
      </c>
      <c r="J19" s="105" t="e">
        <f>VLOOKUP(E19,#REF!,5,FALSE)</f>
        <v>#REF!</v>
      </c>
      <c r="K19" s="96" t="e">
        <f t="shared" si="5"/>
        <v>#REF!</v>
      </c>
      <c r="L19" s="97" t="e">
        <f>VLOOKUP(E19,#REF!,7,FALSE)</f>
        <v>#REF!</v>
      </c>
      <c r="M19" s="95" t="e">
        <f>VLOOKUP(E19,#REF!,9,FALSE)</f>
        <v>#REF!</v>
      </c>
      <c r="N19" s="96" t="e">
        <f>VLOOKUP(E19,#REF!,11,FALSE)</f>
        <v>#REF!</v>
      </c>
      <c r="O19" s="97" t="e">
        <f t="shared" si="6"/>
        <v>#REF!</v>
      </c>
      <c r="P19" s="95" t="e">
        <f t="shared" si="7"/>
        <v>#REF!</v>
      </c>
      <c r="Q19" s="105" t="e">
        <f t="shared" si="8"/>
        <v>#REF!</v>
      </c>
      <c r="R19" s="112" t="e">
        <f t="shared" si="9"/>
        <v>#REF!</v>
      </c>
    </row>
    <row r="20" spans="2:18">
      <c r="B20" s="97"/>
      <c r="C20" s="95"/>
      <c r="D20" s="95"/>
      <c r="E20" s="105" t="s">
        <v>161</v>
      </c>
      <c r="F20" s="97">
        <v>0</v>
      </c>
      <c r="G20" s="95" t="e">
        <f>VLOOKUP(E20,#REF!,2,FALSE)</f>
        <v>#REF!</v>
      </c>
      <c r="H20" s="95" t="e">
        <f>VLOOKUP(E20,#REF!,3,FALSE)</f>
        <v>#REF!</v>
      </c>
      <c r="I20" s="95" t="e">
        <f>VLOOKUP(E20,#REF!,4,FALSE)</f>
        <v>#REF!</v>
      </c>
      <c r="J20" s="105" t="e">
        <f>VLOOKUP(E20,#REF!,5,FALSE)</f>
        <v>#REF!</v>
      </c>
      <c r="K20" s="96" t="e">
        <f t="shared" si="5"/>
        <v>#REF!</v>
      </c>
      <c r="L20" s="97" t="e">
        <f>VLOOKUP(E20,#REF!,7,FALSE)</f>
        <v>#REF!</v>
      </c>
      <c r="M20" s="95" t="e">
        <f>VLOOKUP(E20,#REF!,9,FALSE)</f>
        <v>#REF!</v>
      </c>
      <c r="N20" s="96" t="e">
        <f>VLOOKUP(E20,#REF!,11,FALSE)</f>
        <v>#REF!</v>
      </c>
      <c r="O20" s="97" t="e">
        <f t="shared" si="6"/>
        <v>#REF!</v>
      </c>
      <c r="P20" s="95" t="e">
        <f t="shared" si="7"/>
        <v>#REF!</v>
      </c>
      <c r="Q20" s="105" t="e">
        <f t="shared" si="8"/>
        <v>#REF!</v>
      </c>
      <c r="R20" s="112" t="e">
        <f t="shared" si="9"/>
        <v>#REF!</v>
      </c>
    </row>
    <row r="21" spans="2:18">
      <c r="B21" s="97"/>
      <c r="C21" s="95"/>
      <c r="D21" s="95"/>
      <c r="E21" s="105" t="s">
        <v>160</v>
      </c>
      <c r="F21" s="97">
        <v>0</v>
      </c>
      <c r="G21" s="95" t="e">
        <f>VLOOKUP(E21,#REF!,2,FALSE)</f>
        <v>#REF!</v>
      </c>
      <c r="H21" s="95" t="e">
        <f>VLOOKUP(E21,#REF!,3,FALSE)</f>
        <v>#REF!</v>
      </c>
      <c r="I21" s="95" t="e">
        <f>VLOOKUP(E21,#REF!,4,FALSE)</f>
        <v>#REF!</v>
      </c>
      <c r="J21" s="105" t="e">
        <f>VLOOKUP(E21,#REF!,5,FALSE)</f>
        <v>#REF!</v>
      </c>
      <c r="K21" s="96" t="e">
        <f t="shared" si="5"/>
        <v>#REF!</v>
      </c>
      <c r="L21" s="97" t="e">
        <f>VLOOKUP(E21,#REF!,7,FALSE)</f>
        <v>#REF!</v>
      </c>
      <c r="M21" s="95" t="e">
        <f>VLOOKUP(E21,#REF!,9,FALSE)</f>
        <v>#REF!</v>
      </c>
      <c r="N21" s="96" t="e">
        <f>VLOOKUP(E21,#REF!,11,FALSE)</f>
        <v>#REF!</v>
      </c>
      <c r="O21" s="97" t="e">
        <f t="shared" si="6"/>
        <v>#REF!</v>
      </c>
      <c r="P21" s="95" t="e">
        <f t="shared" si="7"/>
        <v>#REF!</v>
      </c>
      <c r="Q21" s="105" t="e">
        <f t="shared" si="8"/>
        <v>#REF!</v>
      </c>
      <c r="R21" s="112" t="e">
        <f t="shared" si="9"/>
        <v>#REF!</v>
      </c>
    </row>
    <row r="22" spans="2:18">
      <c r="B22" s="97"/>
      <c r="C22" s="95"/>
      <c r="D22" s="95"/>
      <c r="E22" s="105" t="s">
        <v>77</v>
      </c>
      <c r="F22" s="97">
        <v>0</v>
      </c>
      <c r="G22" s="95" t="e">
        <f>VLOOKUP(E22,#REF!,2,FALSE)</f>
        <v>#REF!</v>
      </c>
      <c r="H22" s="95" t="e">
        <f>VLOOKUP(E22,#REF!,3,FALSE)</f>
        <v>#REF!</v>
      </c>
      <c r="I22" s="95" t="e">
        <f>VLOOKUP(E22,#REF!,4,FALSE)</f>
        <v>#REF!</v>
      </c>
      <c r="J22" s="105" t="e">
        <f>VLOOKUP(E22,#REF!,5,FALSE)</f>
        <v>#REF!</v>
      </c>
      <c r="K22" s="96" t="e">
        <f t="shared" si="5"/>
        <v>#REF!</v>
      </c>
      <c r="L22" s="97" t="e">
        <f>VLOOKUP(E22,#REF!,7,FALSE)</f>
        <v>#REF!</v>
      </c>
      <c r="M22" s="95" t="e">
        <f>VLOOKUP(E22,#REF!,9,FALSE)</f>
        <v>#REF!</v>
      </c>
      <c r="N22" s="96" t="e">
        <f>VLOOKUP(E22,#REF!,11,FALSE)</f>
        <v>#REF!</v>
      </c>
      <c r="O22" s="97" t="e">
        <f t="shared" si="6"/>
        <v>#REF!</v>
      </c>
      <c r="P22" s="95" t="e">
        <f t="shared" si="7"/>
        <v>#REF!</v>
      </c>
      <c r="Q22" s="105" t="e">
        <f t="shared" si="8"/>
        <v>#REF!</v>
      </c>
      <c r="R22" s="112" t="e">
        <f t="shared" si="9"/>
        <v>#REF!</v>
      </c>
    </row>
    <row r="23" spans="2:18">
      <c r="B23" s="20" t="s">
        <v>51</v>
      </c>
      <c r="C23" s="14"/>
      <c r="D23" s="101" t="s">
        <v>48</v>
      </c>
      <c r="E23" s="104"/>
      <c r="F23" s="108"/>
      <c r="G23" s="102"/>
      <c r="H23" s="102"/>
      <c r="I23" s="102"/>
      <c r="J23" s="104"/>
      <c r="K23" s="103"/>
      <c r="L23" s="108"/>
      <c r="M23" s="102"/>
      <c r="N23" s="103"/>
      <c r="O23" s="108"/>
      <c r="P23" s="102"/>
      <c r="Q23" s="104"/>
      <c r="R23" s="111"/>
    </row>
    <row r="24" spans="2:18">
      <c r="B24" s="97"/>
      <c r="C24" s="95"/>
      <c r="D24" s="95"/>
      <c r="E24" s="105" t="s">
        <v>85</v>
      </c>
      <c r="F24" s="224" t="e">
        <f>ROUND(SUM(O44:O49)/1000+((E129*1.5+E129*1.7)*365*F129/1000*0.4),3)</f>
        <v>#REF!</v>
      </c>
      <c r="G24" s="95" t="e">
        <f>VLOOKUP(E24,#REF!,2,FALSE)</f>
        <v>#REF!</v>
      </c>
      <c r="H24" s="95" t="e">
        <f>VLOOKUP(E24,#REF!,3,FALSE)</f>
        <v>#REF!</v>
      </c>
      <c r="I24" s="95" t="e">
        <f>VLOOKUP(E24,#REF!,4,FALSE)</f>
        <v>#REF!</v>
      </c>
      <c r="J24" s="105" t="e">
        <f>VLOOKUP(E24,#REF!,5,FALSE)</f>
        <v>#REF!</v>
      </c>
      <c r="K24" s="96" t="e">
        <f t="shared" ref="K24:K30" si="10">F24*J24*H24</f>
        <v>#REF!</v>
      </c>
      <c r="L24" s="97" t="e">
        <f>VLOOKUP(E24,#REF!,7,FALSE)</f>
        <v>#REF!</v>
      </c>
      <c r="M24" s="95" t="e">
        <f>VLOOKUP(E24,#REF!,9,FALSE)</f>
        <v>#REF!</v>
      </c>
      <c r="N24" s="96" t="e">
        <f>VLOOKUP(E24,#REF!,11,FALSE)</f>
        <v>#REF!</v>
      </c>
      <c r="O24" s="97" t="e">
        <f>ROUND(K24*L24/1000,0)</f>
        <v>#REF!</v>
      </c>
      <c r="P24" s="95" t="e">
        <f t="shared" ref="P24:P30" si="11">ROUND(M24*K24/1000,3)</f>
        <v>#REF!</v>
      </c>
      <c r="Q24" s="105" t="e">
        <f t="shared" ref="Q24:Q30" si="12">ROUND(K24*N24/1000,3)</f>
        <v>#REF!</v>
      </c>
      <c r="R24" s="112" t="e">
        <f t="shared" ref="R24:R30" si="13">ROUND(O24+P24*GWP_CH4+Q24*GWP_N2O,0)</f>
        <v>#REF!</v>
      </c>
    </row>
    <row r="25" spans="2:18">
      <c r="B25" s="97"/>
      <c r="C25" s="95"/>
      <c r="D25" s="95"/>
      <c r="E25" s="105" t="s">
        <v>84</v>
      </c>
      <c r="F25" s="97" t="e">
        <f>ROUND(SUM(O52:O57)/1000+((E129*1.5+E129*1.7)*365*F129/1000*0.5),3)</f>
        <v>#REF!</v>
      </c>
      <c r="G25" s="95" t="e">
        <f>VLOOKUP(E25,#REF!,2,FALSE)</f>
        <v>#REF!</v>
      </c>
      <c r="H25" s="95" t="e">
        <f>VLOOKUP(E25,#REF!,3,FALSE)</f>
        <v>#REF!</v>
      </c>
      <c r="I25" s="95" t="e">
        <f>VLOOKUP(E25,#REF!,4,FALSE)</f>
        <v>#REF!</v>
      </c>
      <c r="J25" s="105" t="e">
        <f>VLOOKUP(E25,#REF!,5,FALSE)</f>
        <v>#REF!</v>
      </c>
      <c r="K25" s="96" t="e">
        <f t="shared" si="10"/>
        <v>#REF!</v>
      </c>
      <c r="L25" s="97" t="e">
        <f>VLOOKUP(E25,#REF!,7,FALSE)</f>
        <v>#REF!</v>
      </c>
      <c r="M25" s="95" t="e">
        <f>VLOOKUP(E25,#REF!,9,FALSE)</f>
        <v>#REF!</v>
      </c>
      <c r="N25" s="96" t="e">
        <f>VLOOKUP(E25,#REF!,11,FALSE)</f>
        <v>#REF!</v>
      </c>
      <c r="O25" s="97" t="e">
        <f t="shared" ref="O25:O30" si="14">ROUND(K25*L25/1000,0)</f>
        <v>#REF!</v>
      </c>
      <c r="P25" s="95" t="e">
        <f t="shared" si="11"/>
        <v>#REF!</v>
      </c>
      <c r="Q25" s="105" t="e">
        <f t="shared" si="12"/>
        <v>#REF!</v>
      </c>
      <c r="R25" s="112" t="e">
        <f t="shared" si="13"/>
        <v>#REF!</v>
      </c>
    </row>
    <row r="26" spans="2:18">
      <c r="B26" s="97"/>
      <c r="C26" s="95"/>
      <c r="D26" s="95"/>
      <c r="E26" s="105" t="s">
        <v>83</v>
      </c>
      <c r="F26" s="97" t="e">
        <f>ROUND(SUM(O60:O65)/1000+((E129*1.5+E129*1.7)*365*F129/1000*0.1),3)</f>
        <v>#REF!</v>
      </c>
      <c r="G26" s="95" t="e">
        <f>VLOOKUP(E26,#REF!,2,FALSE)</f>
        <v>#REF!</v>
      </c>
      <c r="H26" s="95" t="e">
        <f>VLOOKUP(E26,#REF!,3,FALSE)</f>
        <v>#REF!</v>
      </c>
      <c r="I26" s="95" t="e">
        <f>VLOOKUP(E26,#REF!,4,FALSE)</f>
        <v>#REF!</v>
      </c>
      <c r="J26" s="105" t="e">
        <f>VLOOKUP(E26,#REF!,5,FALSE)</f>
        <v>#REF!</v>
      </c>
      <c r="K26" s="96" t="e">
        <f t="shared" si="10"/>
        <v>#REF!</v>
      </c>
      <c r="L26" s="97" t="e">
        <f>VLOOKUP(E26,#REF!,7,FALSE)</f>
        <v>#REF!</v>
      </c>
      <c r="M26" s="95" t="e">
        <f>VLOOKUP(E26,#REF!,9,FALSE)</f>
        <v>#REF!</v>
      </c>
      <c r="N26" s="96" t="e">
        <f>VLOOKUP(E26,#REF!,11,FALSE)</f>
        <v>#REF!</v>
      </c>
      <c r="O26" s="97" t="e">
        <f t="shared" si="14"/>
        <v>#REF!</v>
      </c>
      <c r="P26" s="95" t="e">
        <f t="shared" si="11"/>
        <v>#REF!</v>
      </c>
      <c r="Q26" s="105" t="e">
        <f t="shared" si="12"/>
        <v>#REF!</v>
      </c>
      <c r="R26" s="112" t="e">
        <f t="shared" si="13"/>
        <v>#REF!</v>
      </c>
    </row>
    <row r="27" spans="2:18">
      <c r="B27" s="97"/>
      <c r="C27" s="95"/>
      <c r="D27" s="95"/>
      <c r="E27" s="105" t="s">
        <v>80</v>
      </c>
      <c r="F27" s="97" t="e">
        <f>ROUND(SUM(O68:O73)/1000,3)</f>
        <v>#REF!</v>
      </c>
      <c r="G27" s="95" t="e">
        <f>VLOOKUP(E27,#REF!,2,FALSE)</f>
        <v>#REF!</v>
      </c>
      <c r="H27" s="95" t="e">
        <f>VLOOKUP(E27,#REF!,3,FALSE)</f>
        <v>#REF!</v>
      </c>
      <c r="I27" s="95" t="e">
        <f>VLOOKUP(E27,#REF!,4,FALSE)</f>
        <v>#REF!</v>
      </c>
      <c r="J27" s="105" t="e">
        <f>VLOOKUP(E27,#REF!,5,FALSE)</f>
        <v>#REF!</v>
      </c>
      <c r="K27" s="96" t="e">
        <f t="shared" si="10"/>
        <v>#REF!</v>
      </c>
      <c r="L27" s="97" t="e">
        <f>VLOOKUP(E27,#REF!,7,FALSE)</f>
        <v>#REF!</v>
      </c>
      <c r="M27" s="95" t="e">
        <f>VLOOKUP(E27,#REF!,9,FALSE)</f>
        <v>#REF!</v>
      </c>
      <c r="N27" s="96" t="e">
        <f>VLOOKUP(E27,#REF!,11,FALSE)</f>
        <v>#REF!</v>
      </c>
      <c r="O27" s="97" t="e">
        <f t="shared" si="14"/>
        <v>#REF!</v>
      </c>
      <c r="P27" s="95" t="e">
        <f t="shared" si="11"/>
        <v>#REF!</v>
      </c>
      <c r="Q27" s="105" t="e">
        <f t="shared" si="12"/>
        <v>#REF!</v>
      </c>
      <c r="R27" s="112" t="e">
        <f t="shared" si="13"/>
        <v>#REF!</v>
      </c>
    </row>
    <row r="28" spans="2:18">
      <c r="B28" s="97"/>
      <c r="C28" s="95"/>
      <c r="D28" s="95"/>
      <c r="E28" s="105" t="s">
        <v>161</v>
      </c>
      <c r="F28" s="97" t="e">
        <f>ROUND(SUM(O84:O89)/1000,3)</f>
        <v>#REF!</v>
      </c>
      <c r="G28" s="95" t="e">
        <f>VLOOKUP(E28,#REF!,2,FALSE)</f>
        <v>#REF!</v>
      </c>
      <c r="H28" s="95" t="e">
        <f>VLOOKUP(E28,#REF!,3,FALSE)</f>
        <v>#REF!</v>
      </c>
      <c r="I28" s="95" t="e">
        <f>VLOOKUP(E28,#REF!,4,FALSE)</f>
        <v>#REF!</v>
      </c>
      <c r="J28" s="105" t="e">
        <f>VLOOKUP(E28,#REF!,5,FALSE)</f>
        <v>#REF!</v>
      </c>
      <c r="K28" s="96" t="e">
        <f t="shared" si="10"/>
        <v>#REF!</v>
      </c>
      <c r="L28" s="97" t="e">
        <f>VLOOKUP(E28,#REF!,7,FALSE)</f>
        <v>#REF!</v>
      </c>
      <c r="M28" s="95" t="e">
        <f>VLOOKUP(E28,#REF!,9,FALSE)</f>
        <v>#REF!</v>
      </c>
      <c r="N28" s="96" t="e">
        <f>VLOOKUP(E28,#REF!,11,FALSE)</f>
        <v>#REF!</v>
      </c>
      <c r="O28" s="97" t="e">
        <f t="shared" si="14"/>
        <v>#REF!</v>
      </c>
      <c r="P28" s="95" t="e">
        <f t="shared" si="11"/>
        <v>#REF!</v>
      </c>
      <c r="Q28" s="105" t="e">
        <f t="shared" si="12"/>
        <v>#REF!</v>
      </c>
      <c r="R28" s="112" t="e">
        <f t="shared" si="13"/>
        <v>#REF!</v>
      </c>
    </row>
    <row r="29" spans="2:18">
      <c r="B29" s="97"/>
      <c r="C29" s="95"/>
      <c r="D29" s="95"/>
      <c r="E29" s="105" t="s">
        <v>160</v>
      </c>
      <c r="F29" s="97" t="e">
        <f>ROUND(SUM(O76:O81)/1000,3)</f>
        <v>#REF!</v>
      </c>
      <c r="G29" s="95" t="e">
        <f>VLOOKUP(E29,#REF!,2,FALSE)</f>
        <v>#REF!</v>
      </c>
      <c r="H29" s="95" t="e">
        <f>VLOOKUP(E29,#REF!,3,FALSE)</f>
        <v>#REF!</v>
      </c>
      <c r="I29" s="95" t="e">
        <f>VLOOKUP(E29,#REF!,4,FALSE)</f>
        <v>#REF!</v>
      </c>
      <c r="J29" s="105" t="e">
        <f>VLOOKUP(E29,#REF!,5,FALSE)</f>
        <v>#REF!</v>
      </c>
      <c r="K29" s="96" t="e">
        <f t="shared" si="10"/>
        <v>#REF!</v>
      </c>
      <c r="L29" s="97" t="e">
        <f>VLOOKUP(E29,#REF!,7,FALSE)</f>
        <v>#REF!</v>
      </c>
      <c r="M29" s="95" t="e">
        <f>VLOOKUP(E29,#REF!,9,FALSE)</f>
        <v>#REF!</v>
      </c>
      <c r="N29" s="96" t="e">
        <f>VLOOKUP(E29,#REF!,11,FALSE)</f>
        <v>#REF!</v>
      </c>
      <c r="O29" s="97" t="e">
        <f t="shared" si="14"/>
        <v>#REF!</v>
      </c>
      <c r="P29" s="95" t="e">
        <f t="shared" si="11"/>
        <v>#REF!</v>
      </c>
      <c r="Q29" s="105" t="e">
        <f t="shared" si="12"/>
        <v>#REF!</v>
      </c>
      <c r="R29" s="112" t="e">
        <f t="shared" si="13"/>
        <v>#REF!</v>
      </c>
    </row>
    <row r="30" spans="2:18">
      <c r="B30" s="97"/>
      <c r="C30" s="95"/>
      <c r="D30" s="95"/>
      <c r="E30" s="105" t="s">
        <v>77</v>
      </c>
      <c r="F30" s="97" t="e">
        <f>ROUND(SUM(O92:O97)/1000,3)</f>
        <v>#REF!</v>
      </c>
      <c r="G30" s="95" t="e">
        <f>VLOOKUP(E30,#REF!,2,FALSE)</f>
        <v>#REF!</v>
      </c>
      <c r="H30" s="95" t="e">
        <f>VLOOKUP(E30,#REF!,3,FALSE)</f>
        <v>#REF!</v>
      </c>
      <c r="I30" s="95" t="e">
        <f>VLOOKUP(E30,#REF!,4,FALSE)</f>
        <v>#REF!</v>
      </c>
      <c r="J30" s="105" t="e">
        <f>VLOOKUP(E30,#REF!,5,FALSE)</f>
        <v>#REF!</v>
      </c>
      <c r="K30" s="96" t="e">
        <f t="shared" si="10"/>
        <v>#REF!</v>
      </c>
      <c r="L30" s="97" t="e">
        <f>VLOOKUP(E30,#REF!,7,FALSE)</f>
        <v>#REF!</v>
      </c>
      <c r="M30" s="95" t="e">
        <f>VLOOKUP(E30,#REF!,9,FALSE)</f>
        <v>#REF!</v>
      </c>
      <c r="N30" s="96" t="e">
        <f>VLOOKUP(E30,#REF!,11,FALSE)</f>
        <v>#REF!</v>
      </c>
      <c r="O30" s="97" t="e">
        <f t="shared" si="14"/>
        <v>#REF!</v>
      </c>
      <c r="P30" s="95" t="e">
        <f t="shared" si="11"/>
        <v>#REF!</v>
      </c>
      <c r="Q30" s="105" t="e">
        <f t="shared" si="12"/>
        <v>#REF!</v>
      </c>
      <c r="R30" s="112" t="e">
        <f t="shared" si="13"/>
        <v>#REF!</v>
      </c>
    </row>
    <row r="31" spans="2:18">
      <c r="B31" s="20" t="s">
        <v>27</v>
      </c>
      <c r="C31" s="100" t="s">
        <v>71</v>
      </c>
      <c r="D31" s="101"/>
      <c r="E31" s="104"/>
      <c r="F31" s="108"/>
      <c r="G31" s="102"/>
      <c r="H31" s="102"/>
      <c r="I31" s="102"/>
      <c r="J31" s="104"/>
      <c r="K31" s="103"/>
      <c r="L31" s="108"/>
      <c r="M31" s="102"/>
      <c r="N31" s="103"/>
      <c r="O31" s="108"/>
      <c r="P31" s="102"/>
      <c r="Q31" s="104"/>
      <c r="R31" s="111"/>
    </row>
    <row r="32" spans="2:18">
      <c r="B32" s="20" t="s">
        <v>53</v>
      </c>
      <c r="C32" s="14"/>
      <c r="D32" s="101" t="s">
        <v>69</v>
      </c>
      <c r="E32" s="104"/>
      <c r="F32" s="108"/>
      <c r="G32" s="102"/>
      <c r="H32" s="102"/>
      <c r="I32" s="102"/>
      <c r="J32" s="104"/>
      <c r="K32" s="103"/>
      <c r="L32" s="108"/>
      <c r="M32" s="102"/>
      <c r="N32" s="103"/>
      <c r="O32" s="108"/>
      <c r="P32" s="102"/>
      <c r="Q32" s="104"/>
      <c r="R32" s="111"/>
    </row>
    <row r="33" spans="2:18">
      <c r="B33" s="97"/>
      <c r="C33" s="95"/>
      <c r="D33" s="95"/>
      <c r="E33" s="105" t="s">
        <v>77</v>
      </c>
      <c r="F33" s="205">
        <v>63968</v>
      </c>
      <c r="G33" s="95" t="e">
        <f>VLOOKUP(E33,#REF!,2,FALSE)</f>
        <v>#REF!</v>
      </c>
      <c r="H33" s="95" t="e">
        <f>VLOOKUP(E33,#REF!,3,FALSE)</f>
        <v>#REF!</v>
      </c>
      <c r="I33" s="95" t="e">
        <f>VLOOKUP(E33,#REF!,4,FALSE)</f>
        <v>#REF!</v>
      </c>
      <c r="J33" s="105" t="e">
        <f>VLOOKUP(E33,#REF!,5,FALSE)</f>
        <v>#REF!</v>
      </c>
      <c r="K33" s="96" t="e">
        <f>F33*J33*H33</f>
        <v>#REF!</v>
      </c>
      <c r="L33" s="97" t="e">
        <f>VLOOKUP(E33,#REF!,7,FALSE)</f>
        <v>#REF!</v>
      </c>
      <c r="M33" s="95" t="e">
        <f>VLOOKUP(E33,#REF!,9,FALSE)</f>
        <v>#REF!</v>
      </c>
      <c r="N33" s="96" t="e">
        <f>VLOOKUP(E33,#REF!,11,FALSE)</f>
        <v>#REF!</v>
      </c>
      <c r="O33" s="97" t="e">
        <f>ROUND(K33*L33/1000,0)</f>
        <v>#REF!</v>
      </c>
      <c r="P33" s="95" t="e">
        <f>ROUND(M33*K33/1000,3)</f>
        <v>#REF!</v>
      </c>
      <c r="Q33" s="105" t="e">
        <f>ROUND(K33*N33/1000,3)</f>
        <v>#REF!</v>
      </c>
      <c r="R33" s="112" t="e">
        <f>ROUND(O33+P33*GWP_CH4+Q33*GWP_N2O,0)</f>
        <v>#REF!</v>
      </c>
    </row>
    <row r="34" spans="2:18">
      <c r="B34" s="20" t="s">
        <v>158</v>
      </c>
      <c r="C34" s="14"/>
      <c r="D34" s="101" t="s">
        <v>73</v>
      </c>
      <c r="E34" s="104"/>
      <c r="F34" s="108"/>
      <c r="G34" s="102"/>
      <c r="H34" s="102"/>
      <c r="I34" s="102"/>
      <c r="J34" s="104"/>
      <c r="K34" s="103"/>
      <c r="L34" s="108"/>
      <c r="M34" s="102"/>
      <c r="N34" s="103"/>
      <c r="O34" s="108"/>
      <c r="P34" s="102"/>
      <c r="Q34" s="104"/>
      <c r="R34" s="111"/>
    </row>
    <row r="35" spans="2:18">
      <c r="B35" s="97"/>
      <c r="C35" s="95"/>
      <c r="D35" s="95"/>
      <c r="E35" s="105" t="s">
        <v>84</v>
      </c>
      <c r="F35" s="97" t="e">
        <f>ROUND(G126,3)</f>
        <v>#REF!</v>
      </c>
      <c r="G35" s="95" t="e">
        <f>VLOOKUP(E35,#REF!,2,FALSE)</f>
        <v>#REF!</v>
      </c>
      <c r="H35" s="95" t="e">
        <f>VLOOKUP(E35,#REF!,3,FALSE)</f>
        <v>#REF!</v>
      </c>
      <c r="I35" s="95" t="e">
        <f>VLOOKUP(E35,#REF!,4,FALSE)</f>
        <v>#REF!</v>
      </c>
      <c r="J35" s="105" t="e">
        <f>VLOOKUP(E35,#REF!,5,FALSE)</f>
        <v>#REF!</v>
      </c>
      <c r="K35" s="96" t="e">
        <f>F35*J35*H35</f>
        <v>#REF!</v>
      </c>
      <c r="L35" s="97" t="e">
        <f>VLOOKUP(E35,#REF!,7,FALSE)</f>
        <v>#REF!</v>
      </c>
      <c r="M35" s="95" t="e">
        <f>VLOOKUP(E35,#REF!,9,FALSE)</f>
        <v>#REF!</v>
      </c>
      <c r="N35" s="96" t="e">
        <f>VLOOKUP(E35,#REF!,11,FALSE)</f>
        <v>#REF!</v>
      </c>
      <c r="O35" s="97" t="e">
        <f>ROUND(K35*L35/1000,0)</f>
        <v>#REF!</v>
      </c>
      <c r="P35" s="95" t="e">
        <f>ROUND(M35*K35/1000,3)</f>
        <v>#REF!</v>
      </c>
      <c r="Q35" s="105" t="e">
        <f>ROUND(K35*N35/1000,3)</f>
        <v>#REF!</v>
      </c>
      <c r="R35" s="112" t="e">
        <f>ROUND(O35+P35*GWP_CH4+Q35*GWP_N2O,0)</f>
        <v>#REF!</v>
      </c>
    </row>
    <row r="36" spans="2:18">
      <c r="B36" s="97"/>
      <c r="C36" s="95"/>
      <c r="D36" s="95"/>
      <c r="E36" s="105" t="s">
        <v>77</v>
      </c>
      <c r="F36" s="97" t="e">
        <f>ROUND(H126,3)</f>
        <v>#REF!</v>
      </c>
      <c r="G36" s="95" t="e">
        <f>VLOOKUP(E36,#REF!,2,FALSE)</f>
        <v>#REF!</v>
      </c>
      <c r="H36" s="95" t="e">
        <f>VLOOKUP(E36,#REF!,3,FALSE)</f>
        <v>#REF!</v>
      </c>
      <c r="I36" s="95" t="e">
        <f>VLOOKUP(E36,#REF!,4,FALSE)</f>
        <v>#REF!</v>
      </c>
      <c r="J36" s="105" t="e">
        <f>VLOOKUP(E36,#REF!,5,FALSE)</f>
        <v>#REF!</v>
      </c>
      <c r="K36" s="96" t="e">
        <f>F36*J36*H36</f>
        <v>#REF!</v>
      </c>
      <c r="L36" s="97" t="e">
        <f>VLOOKUP(E36,#REF!,7,FALSE)</f>
        <v>#REF!</v>
      </c>
      <c r="M36" s="95" t="e">
        <f>VLOOKUP(E36,#REF!,9,FALSE)</f>
        <v>#REF!</v>
      </c>
      <c r="N36" s="96" t="e">
        <f>VLOOKUP(E36,#REF!,11,FALSE)</f>
        <v>#REF!</v>
      </c>
      <c r="O36" s="97" t="e">
        <f>ROUND(K36*L36/1000,0)</f>
        <v>#REF!</v>
      </c>
      <c r="P36" s="95" t="e">
        <f>ROUND(M36*K36/1000,3)</f>
        <v>#REF!</v>
      </c>
      <c r="Q36" s="105" t="e">
        <f>ROUND(K36*N36/1000,3)</f>
        <v>#REF!</v>
      </c>
      <c r="R36" s="112" t="e">
        <f>ROUND(O36+P36*GWP_CH4+Q36*GWP_N2O,0)</f>
        <v>#REF!</v>
      </c>
    </row>
    <row r="37" spans="2:18">
      <c r="B37" s="20" t="s">
        <v>159</v>
      </c>
      <c r="C37" s="14"/>
      <c r="D37" s="101" t="s">
        <v>70</v>
      </c>
      <c r="E37" s="104"/>
      <c r="F37" s="108"/>
      <c r="G37" s="102"/>
      <c r="H37" s="102"/>
      <c r="I37" s="102"/>
      <c r="J37" s="104"/>
      <c r="K37" s="103"/>
      <c r="L37" s="108"/>
      <c r="M37" s="102"/>
      <c r="N37" s="103"/>
      <c r="O37" s="108"/>
      <c r="P37" s="102"/>
      <c r="Q37" s="104"/>
      <c r="R37" s="111"/>
    </row>
    <row r="38" spans="2:18">
      <c r="B38" s="97"/>
      <c r="C38" s="95"/>
      <c r="D38" s="95"/>
      <c r="E38" s="105" t="s">
        <v>84</v>
      </c>
      <c r="F38" s="97"/>
      <c r="G38" s="95" t="e">
        <f>VLOOKUP(E38,#REF!,2,FALSE)</f>
        <v>#REF!</v>
      </c>
      <c r="H38" s="95" t="e">
        <f>VLOOKUP(E38,#REF!,3,FALSE)</f>
        <v>#REF!</v>
      </c>
      <c r="I38" s="95" t="e">
        <f>VLOOKUP(E38,#REF!,4,FALSE)</f>
        <v>#REF!</v>
      </c>
      <c r="J38" s="105" t="e">
        <f>VLOOKUP(E38,#REF!,5,FALSE)</f>
        <v>#REF!</v>
      </c>
      <c r="K38" s="96" t="e">
        <f>F38*J38*H38</f>
        <v>#REF!</v>
      </c>
      <c r="L38" s="97" t="e">
        <f>VLOOKUP(E38,#REF!,7,FALSE)</f>
        <v>#REF!</v>
      </c>
      <c r="M38" s="95" t="e">
        <f>VLOOKUP(E38,#REF!,9,FALSE)</f>
        <v>#REF!</v>
      </c>
      <c r="N38" s="96" t="e">
        <f>VLOOKUP(E38,#REF!,11,FALSE)</f>
        <v>#REF!</v>
      </c>
      <c r="O38" s="97" t="e">
        <f>ROUND(K38*L38/1000,0)</f>
        <v>#REF!</v>
      </c>
      <c r="P38" s="95" t="e">
        <f>ROUND(M38*K38/1000,3)</f>
        <v>#REF!</v>
      </c>
      <c r="Q38" s="105" t="e">
        <f>ROUND(K38*N38/1000,3)</f>
        <v>#REF!</v>
      </c>
      <c r="R38" s="112" t="e">
        <f>ROUND(O38+P38*GWP_CH4+Q38*GWP_N2O,0)</f>
        <v>#REF!</v>
      </c>
    </row>
    <row r="39" spans="2:18" ht="15.75" thickBot="1">
      <c r="B39" s="109"/>
      <c r="C39" s="98"/>
      <c r="D39" s="98"/>
      <c r="E39" s="99" t="s">
        <v>77</v>
      </c>
      <c r="F39" s="109"/>
      <c r="G39" s="98" t="e">
        <f>VLOOKUP(E39,#REF!,2,FALSE)</f>
        <v>#REF!</v>
      </c>
      <c r="H39" s="98" t="e">
        <f>VLOOKUP(E39,#REF!,3,FALSE)</f>
        <v>#REF!</v>
      </c>
      <c r="I39" s="98" t="e">
        <f>VLOOKUP(E39,#REF!,4,FALSE)</f>
        <v>#REF!</v>
      </c>
      <c r="J39" s="106" t="e">
        <f>VLOOKUP(E39,#REF!,5,FALSE)</f>
        <v>#REF!</v>
      </c>
      <c r="K39" s="99" t="e">
        <f>F39*J39*H39</f>
        <v>#REF!</v>
      </c>
      <c r="L39" s="109" t="e">
        <f>VLOOKUP(E39,#REF!,7,FALSE)</f>
        <v>#REF!</v>
      </c>
      <c r="M39" s="98" t="e">
        <f>VLOOKUP(E39,#REF!,9,FALSE)</f>
        <v>#REF!</v>
      </c>
      <c r="N39" s="99" t="e">
        <f>VLOOKUP(E39,#REF!,11,FALSE)</f>
        <v>#REF!</v>
      </c>
      <c r="O39" s="109" t="e">
        <f>ROUND(K39*L39/1000,0)</f>
        <v>#REF!</v>
      </c>
      <c r="P39" s="98" t="e">
        <f>ROUND(M39*K39/1000,3)</f>
        <v>#REF!</v>
      </c>
      <c r="Q39" s="106" t="e">
        <f>ROUND(K39*N39/1000,3)</f>
        <v>#REF!</v>
      </c>
      <c r="R39" s="113" t="e">
        <f>ROUND(O39+P39*GWP_CH4+Q39*GWP_N2O,0)</f>
        <v>#REF!</v>
      </c>
    </row>
    <row r="40" spans="2:18" ht="15.75" thickBot="1"/>
    <row r="41" spans="2:18" ht="15.75" thickBot="1">
      <c r="B41" s="608" t="s">
        <v>180</v>
      </c>
      <c r="C41" s="609"/>
      <c r="D41" s="609"/>
      <c r="E41" s="609"/>
      <c r="F41" s="609"/>
      <c r="G41" s="609"/>
      <c r="I41" s="622" t="s">
        <v>181</v>
      </c>
      <c r="J41" s="623"/>
      <c r="K41" s="623"/>
      <c r="L41" s="623"/>
      <c r="M41" s="623"/>
      <c r="N41" s="623"/>
      <c r="O41" s="624"/>
    </row>
    <row r="42" spans="2:18">
      <c r="B42" s="192"/>
      <c r="C42" s="625" t="s">
        <v>162</v>
      </c>
      <c r="D42" s="625"/>
      <c r="E42" s="625"/>
      <c r="F42" s="625"/>
      <c r="G42" s="189"/>
      <c r="H42" s="188"/>
      <c r="I42" s="192"/>
      <c r="J42" s="203"/>
      <c r="K42" s="625" t="s">
        <v>162</v>
      </c>
      <c r="L42" s="625"/>
      <c r="M42" s="625"/>
      <c r="N42" s="625"/>
      <c r="O42" s="189"/>
    </row>
    <row r="43" spans="2:18">
      <c r="B43" s="193" t="s">
        <v>179</v>
      </c>
      <c r="C43" s="187" t="s">
        <v>169</v>
      </c>
      <c r="D43" s="187" t="s">
        <v>170</v>
      </c>
      <c r="E43" s="187" t="s">
        <v>171</v>
      </c>
      <c r="F43" s="187" t="s">
        <v>172</v>
      </c>
      <c r="G43" s="190" t="s">
        <v>97</v>
      </c>
      <c r="I43" s="193" t="s">
        <v>179</v>
      </c>
      <c r="J43" s="187"/>
      <c r="K43" s="187" t="s">
        <v>169</v>
      </c>
      <c r="L43" s="187" t="s">
        <v>170</v>
      </c>
      <c r="M43" s="187" t="s">
        <v>171</v>
      </c>
      <c r="N43" s="187" t="s">
        <v>172</v>
      </c>
      <c r="O43" s="190" t="s">
        <v>97</v>
      </c>
    </row>
    <row r="44" spans="2:18">
      <c r="B44" s="194" t="s">
        <v>173</v>
      </c>
      <c r="C44" s="195">
        <v>1</v>
      </c>
      <c r="D44" s="195"/>
      <c r="E44" s="195">
        <v>18</v>
      </c>
      <c r="F44" s="195"/>
      <c r="G44" s="200">
        <f t="shared" ref="G44:G49" si="15">SUM(C44:F44)</f>
        <v>19</v>
      </c>
      <c r="I44" s="194" t="s">
        <v>173</v>
      </c>
      <c r="J44" s="202"/>
      <c r="K44" s="195" t="e">
        <f>C44*#REF!*#REF!/100</f>
        <v>#REF!</v>
      </c>
      <c r="L44" s="195" t="e">
        <f>D44*#REF!*#REF!/100</f>
        <v>#REF!</v>
      </c>
      <c r="M44" s="195" t="e">
        <f>E44*#REF!*#REF!/100</f>
        <v>#REF!</v>
      </c>
      <c r="N44" s="195" t="e">
        <f>F44*#REF!*#REF!/100</f>
        <v>#REF!</v>
      </c>
      <c r="O44" s="200" t="e">
        <f t="shared" ref="O44:O49" si="16">SUM(K44:N44)</f>
        <v>#REF!</v>
      </c>
    </row>
    <row r="45" spans="2:18">
      <c r="B45" s="194" t="s">
        <v>174</v>
      </c>
      <c r="C45" s="195"/>
      <c r="D45" s="195"/>
      <c r="E45" s="195">
        <v>20</v>
      </c>
      <c r="F45" s="195"/>
      <c r="G45" s="200">
        <f t="shared" si="15"/>
        <v>20</v>
      </c>
      <c r="I45" s="194" t="s">
        <v>174</v>
      </c>
      <c r="J45" s="202"/>
      <c r="K45" s="195" t="e">
        <f>C45*#REF!*#REF!/100</f>
        <v>#REF!</v>
      </c>
      <c r="L45" s="195" t="e">
        <f>D45*#REF!*#REF!/100</f>
        <v>#REF!</v>
      </c>
      <c r="M45" s="195" t="e">
        <f>E45*#REF!*#REF!/100</f>
        <v>#REF!</v>
      </c>
      <c r="N45" s="195" t="e">
        <f>F45*#REF!*#REF!/100</f>
        <v>#REF!</v>
      </c>
      <c r="O45" s="200" t="e">
        <f t="shared" si="16"/>
        <v>#REF!</v>
      </c>
    </row>
    <row r="46" spans="2:18">
      <c r="B46" s="194" t="s">
        <v>175</v>
      </c>
      <c r="C46" s="195">
        <v>11902</v>
      </c>
      <c r="D46" s="195">
        <v>391</v>
      </c>
      <c r="E46" s="195">
        <v>14</v>
      </c>
      <c r="F46" s="195">
        <v>144</v>
      </c>
      <c r="G46" s="200">
        <f t="shared" si="15"/>
        <v>12451</v>
      </c>
      <c r="I46" s="194" t="s">
        <v>175</v>
      </c>
      <c r="J46" s="202"/>
      <c r="K46" s="195" t="e">
        <f>C46*#REF!*#REF!/100</f>
        <v>#REF!</v>
      </c>
      <c r="L46" s="195" t="e">
        <f>D46*#REF!*#REF!/100</f>
        <v>#REF!</v>
      </c>
      <c r="M46" s="195" t="e">
        <f>E46*#REF!*#REF!/100</f>
        <v>#REF!</v>
      </c>
      <c r="N46" s="195" t="e">
        <f>F46*#REF!*#REF!/100</f>
        <v>#REF!</v>
      </c>
      <c r="O46" s="200" t="e">
        <f t="shared" si="16"/>
        <v>#REF!</v>
      </c>
    </row>
    <row r="47" spans="2:18">
      <c r="B47" s="194" t="s">
        <v>176</v>
      </c>
      <c r="C47" s="195">
        <v>3790</v>
      </c>
      <c r="D47" s="195">
        <v>4529</v>
      </c>
      <c r="E47" s="195">
        <v>4101</v>
      </c>
      <c r="F47" s="195"/>
      <c r="G47" s="200">
        <f t="shared" si="15"/>
        <v>12420</v>
      </c>
      <c r="I47" s="194" t="s">
        <v>176</v>
      </c>
      <c r="J47" s="202"/>
      <c r="K47" s="195" t="e">
        <f>C47*#REF!*#REF!/100</f>
        <v>#REF!</v>
      </c>
      <c r="L47" s="195" t="e">
        <f>D47*#REF!*#REF!/100</f>
        <v>#REF!</v>
      </c>
      <c r="M47" s="195" t="e">
        <f>E47*#REF!*#REF!/100</f>
        <v>#REF!</v>
      </c>
      <c r="N47" s="195" t="e">
        <f>F47*#REF!*#REF!/100</f>
        <v>#REF!</v>
      </c>
      <c r="O47" s="200" t="e">
        <f t="shared" si="16"/>
        <v>#REF!</v>
      </c>
    </row>
    <row r="48" spans="2:18">
      <c r="B48" s="194" t="s">
        <v>177</v>
      </c>
      <c r="C48" s="195">
        <v>102198</v>
      </c>
      <c r="D48" s="195">
        <v>76489</v>
      </c>
      <c r="E48" s="195">
        <v>8162</v>
      </c>
      <c r="F48" s="195"/>
      <c r="G48" s="200">
        <f t="shared" si="15"/>
        <v>186849</v>
      </c>
      <c r="I48" s="194" t="s">
        <v>177</v>
      </c>
      <c r="J48" s="202"/>
      <c r="K48" s="195" t="e">
        <f>C48*#REF!*#REF!/100</f>
        <v>#REF!</v>
      </c>
      <c r="L48" s="195" t="e">
        <f>D48*#REF!*#REF!/100</f>
        <v>#REF!</v>
      </c>
      <c r="M48" s="195" t="e">
        <f>E48*#REF!*#REF!/100</f>
        <v>#REF!</v>
      </c>
      <c r="N48" s="195" t="e">
        <f>F48*#REF!*#REF!/100</f>
        <v>#REF!</v>
      </c>
      <c r="O48" s="200" t="e">
        <f t="shared" si="16"/>
        <v>#REF!</v>
      </c>
    </row>
    <row r="49" spans="2:15">
      <c r="B49" s="194" t="s">
        <v>178</v>
      </c>
      <c r="C49" s="195">
        <v>2</v>
      </c>
      <c r="D49" s="195">
        <v>90</v>
      </c>
      <c r="E49" s="195">
        <v>223</v>
      </c>
      <c r="F49" s="195"/>
      <c r="G49" s="200">
        <f t="shared" si="15"/>
        <v>315</v>
      </c>
      <c r="I49" s="194" t="s">
        <v>178</v>
      </c>
      <c r="J49" s="202"/>
      <c r="K49" s="195" t="e">
        <f>C49*#REF!*#REF!/100</f>
        <v>#REF!</v>
      </c>
      <c r="L49" s="195" t="e">
        <f>D49*#REF!*#REF!/100</f>
        <v>#REF!</v>
      </c>
      <c r="M49" s="195" t="e">
        <f>E49*#REF!*#REF!/100</f>
        <v>#REF!</v>
      </c>
      <c r="N49" s="195" t="e">
        <f>F49*#REF!*#REF!/100</f>
        <v>#REF!</v>
      </c>
      <c r="O49" s="200" t="e">
        <f t="shared" si="16"/>
        <v>#REF!</v>
      </c>
    </row>
    <row r="50" spans="2:15">
      <c r="B50" s="196"/>
      <c r="C50" s="610" t="s">
        <v>168</v>
      </c>
      <c r="D50" s="610"/>
      <c r="E50" s="610"/>
      <c r="F50" s="610"/>
      <c r="G50" s="191"/>
      <c r="I50" s="196"/>
      <c r="J50" s="197"/>
      <c r="K50" s="610" t="s">
        <v>168</v>
      </c>
      <c r="L50" s="610"/>
      <c r="M50" s="610"/>
      <c r="N50" s="610"/>
      <c r="O50" s="191"/>
    </row>
    <row r="51" spans="2:15">
      <c r="B51" s="193" t="s">
        <v>179</v>
      </c>
      <c r="C51" s="187" t="s">
        <v>169</v>
      </c>
      <c r="D51" s="187" t="s">
        <v>170</v>
      </c>
      <c r="E51" s="187" t="s">
        <v>171</v>
      </c>
      <c r="F51" s="187" t="s">
        <v>172</v>
      </c>
      <c r="G51" s="190" t="s">
        <v>97</v>
      </c>
      <c r="I51" s="193" t="s">
        <v>179</v>
      </c>
      <c r="J51" s="187"/>
      <c r="K51" s="187" t="s">
        <v>169</v>
      </c>
      <c r="L51" s="187" t="s">
        <v>170</v>
      </c>
      <c r="M51" s="187" t="s">
        <v>171</v>
      </c>
      <c r="N51" s="187" t="s">
        <v>172</v>
      </c>
      <c r="O51" s="190" t="s">
        <v>97</v>
      </c>
    </row>
    <row r="52" spans="2:15">
      <c r="B52" s="194" t="s">
        <v>173</v>
      </c>
      <c r="C52" s="195">
        <v>2</v>
      </c>
      <c r="D52" s="195">
        <v>2</v>
      </c>
      <c r="E52" s="195">
        <v>1899</v>
      </c>
      <c r="F52" s="195">
        <v>30</v>
      </c>
      <c r="G52" s="200">
        <f t="shared" ref="G52:G57" si="17">SUM(C52:F52)</f>
        <v>1933</v>
      </c>
      <c r="I52" s="194" t="s">
        <v>173</v>
      </c>
      <c r="J52" s="202"/>
      <c r="K52" s="195" t="e">
        <f>C52*#REF!*#REF!/100</f>
        <v>#REF!</v>
      </c>
      <c r="L52" s="195" t="e">
        <f>D52*#REF!*#REF!/100</f>
        <v>#REF!</v>
      </c>
      <c r="M52" s="195" t="e">
        <f>E52*#REF!*#REF!/100</f>
        <v>#REF!</v>
      </c>
      <c r="N52" s="195" t="e">
        <f>F52*#REF!*#REF!/100</f>
        <v>#REF!</v>
      </c>
      <c r="O52" s="200" t="e">
        <f t="shared" ref="O52:O57" si="18">SUM(K52:N52)</f>
        <v>#REF!</v>
      </c>
    </row>
    <row r="53" spans="2:15">
      <c r="B53" s="194" t="s">
        <v>174</v>
      </c>
      <c r="C53" s="195">
        <v>3</v>
      </c>
      <c r="D53" s="195">
        <v>2</v>
      </c>
      <c r="E53" s="195">
        <v>4035</v>
      </c>
      <c r="F53" s="195">
        <v>13</v>
      </c>
      <c r="G53" s="200">
        <f t="shared" si="17"/>
        <v>4053</v>
      </c>
      <c r="I53" s="194" t="s">
        <v>174</v>
      </c>
      <c r="J53" s="202"/>
      <c r="K53" s="195" t="e">
        <f>C53*#REF!*#REF!/100</f>
        <v>#REF!</v>
      </c>
      <c r="L53" s="195" t="e">
        <f>D53*#REF!*#REF!/100</f>
        <v>#REF!</v>
      </c>
      <c r="M53" s="195" t="e">
        <f>E53*#REF!*#REF!/100</f>
        <v>#REF!</v>
      </c>
      <c r="N53" s="195" t="e">
        <f>F53*#REF!*#REF!/100</f>
        <v>#REF!</v>
      </c>
      <c r="O53" s="200" t="e">
        <f t="shared" si="18"/>
        <v>#REF!</v>
      </c>
    </row>
    <row r="54" spans="2:15">
      <c r="B54" s="194" t="s">
        <v>175</v>
      </c>
      <c r="C54" s="195">
        <v>5</v>
      </c>
      <c r="D54" s="195"/>
      <c r="E54" s="195"/>
      <c r="F54" s="195"/>
      <c r="G54" s="200">
        <f t="shared" si="17"/>
        <v>5</v>
      </c>
      <c r="I54" s="194" t="s">
        <v>175</v>
      </c>
      <c r="J54" s="202"/>
      <c r="K54" s="195" t="e">
        <f>C54*#REF!*#REF!/100</f>
        <v>#REF!</v>
      </c>
      <c r="L54" s="195" t="e">
        <f>D54*#REF!*#REF!/100</f>
        <v>#REF!</v>
      </c>
      <c r="M54" s="195" t="e">
        <f>E54*#REF!*#REF!/100</f>
        <v>#REF!</v>
      </c>
      <c r="N54" s="195" t="e">
        <f>F54*#REF!*#REF!/100</f>
        <v>#REF!</v>
      </c>
      <c r="O54" s="200" t="e">
        <f t="shared" si="18"/>
        <v>#REF!</v>
      </c>
    </row>
    <row r="55" spans="2:15">
      <c r="B55" s="194" t="s">
        <v>176</v>
      </c>
      <c r="C55" s="195">
        <v>2388</v>
      </c>
      <c r="D55" s="195">
        <v>12340</v>
      </c>
      <c r="E55" s="195">
        <v>29824</v>
      </c>
      <c r="F55" s="195">
        <v>429</v>
      </c>
      <c r="G55" s="200">
        <f t="shared" si="17"/>
        <v>44981</v>
      </c>
      <c r="I55" s="194" t="s">
        <v>176</v>
      </c>
      <c r="J55" s="202"/>
      <c r="K55" s="195" t="e">
        <f>C55*#REF!*#REF!/100</f>
        <v>#REF!</v>
      </c>
      <c r="L55" s="195" t="e">
        <f>D55*#REF!*#REF!/100</f>
        <v>#REF!</v>
      </c>
      <c r="M55" s="195" t="e">
        <f>E55*#REF!*#REF!/100</f>
        <v>#REF!</v>
      </c>
      <c r="N55" s="195" t="e">
        <f>F55*#REF!*#REF!/100</f>
        <v>#REF!</v>
      </c>
      <c r="O55" s="200" t="e">
        <f t="shared" si="18"/>
        <v>#REF!</v>
      </c>
    </row>
    <row r="56" spans="2:15">
      <c r="B56" s="194" t="s">
        <v>177</v>
      </c>
      <c r="C56" s="195">
        <v>31851</v>
      </c>
      <c r="D56" s="195">
        <v>84935</v>
      </c>
      <c r="E56" s="195">
        <v>19514</v>
      </c>
      <c r="F56" s="195">
        <v>1317</v>
      </c>
      <c r="G56" s="200">
        <f t="shared" si="17"/>
        <v>137617</v>
      </c>
      <c r="I56" s="194" t="s">
        <v>177</v>
      </c>
      <c r="J56" s="202"/>
      <c r="K56" s="195" t="e">
        <f>C56*#REF!*#REF!/100</f>
        <v>#REF!</v>
      </c>
      <c r="L56" s="195" t="e">
        <f>D56*#REF!*#REF!/100</f>
        <v>#REF!</v>
      </c>
      <c r="M56" s="195" t="e">
        <f>E56*#REF!*#REF!/100</f>
        <v>#REF!</v>
      </c>
      <c r="N56" s="195" t="e">
        <f>F56*#REF!*#REF!/100</f>
        <v>#REF!</v>
      </c>
      <c r="O56" s="200" t="e">
        <f t="shared" si="18"/>
        <v>#REF!</v>
      </c>
    </row>
    <row r="57" spans="2:15">
      <c r="B57" s="194" t="s">
        <v>178</v>
      </c>
      <c r="C57" s="195">
        <v>37</v>
      </c>
      <c r="D57" s="195">
        <v>327</v>
      </c>
      <c r="E57" s="195">
        <v>2783</v>
      </c>
      <c r="F57" s="195">
        <v>203</v>
      </c>
      <c r="G57" s="200">
        <f t="shared" si="17"/>
        <v>3350</v>
      </c>
      <c r="I57" s="194" t="s">
        <v>178</v>
      </c>
      <c r="J57" s="202"/>
      <c r="K57" s="195" t="e">
        <f>C57*#REF!*#REF!/100</f>
        <v>#REF!</v>
      </c>
      <c r="L57" s="195" t="e">
        <f>D57*#REF!*#REF!/100</f>
        <v>#REF!</v>
      </c>
      <c r="M57" s="195" t="e">
        <f>E57*#REF!*#REF!/100</f>
        <v>#REF!</v>
      </c>
      <c r="N57" s="195" t="e">
        <f>F57*#REF!*#REF!/100</f>
        <v>#REF!</v>
      </c>
      <c r="O57" s="200" t="e">
        <f t="shared" si="18"/>
        <v>#REF!</v>
      </c>
    </row>
    <row r="58" spans="2:15">
      <c r="B58" s="196"/>
      <c r="C58" s="610" t="s">
        <v>166</v>
      </c>
      <c r="D58" s="610"/>
      <c r="E58" s="610"/>
      <c r="F58" s="197"/>
      <c r="G58" s="191"/>
      <c r="I58" s="196"/>
      <c r="J58" s="197"/>
      <c r="K58" s="610" t="s">
        <v>166</v>
      </c>
      <c r="L58" s="610"/>
      <c r="M58" s="610"/>
      <c r="N58" s="197"/>
      <c r="O58" s="191"/>
    </row>
    <row r="59" spans="2:15">
      <c r="B59" s="193" t="s">
        <v>179</v>
      </c>
      <c r="C59" s="187" t="s">
        <v>169</v>
      </c>
      <c r="D59" s="187" t="s">
        <v>170</v>
      </c>
      <c r="E59" s="187" t="s">
        <v>171</v>
      </c>
      <c r="F59" s="187" t="s">
        <v>172</v>
      </c>
      <c r="G59" s="190" t="s">
        <v>97</v>
      </c>
      <c r="I59" s="193" t="s">
        <v>179</v>
      </c>
      <c r="J59" s="187"/>
      <c r="K59" s="187" t="s">
        <v>169</v>
      </c>
      <c r="L59" s="187" t="s">
        <v>170</v>
      </c>
      <c r="M59" s="187" t="s">
        <v>171</v>
      </c>
      <c r="N59" s="187" t="s">
        <v>172</v>
      </c>
      <c r="O59" s="190" t="s">
        <v>97</v>
      </c>
    </row>
    <row r="60" spans="2:15">
      <c r="B60" s="194" t="s">
        <v>173</v>
      </c>
      <c r="C60" s="195"/>
      <c r="D60" s="195"/>
      <c r="E60" s="195"/>
      <c r="F60" s="195"/>
      <c r="G60" s="200">
        <f t="shared" ref="G60:G65" si="19">SUM(C60:F60)</f>
        <v>0</v>
      </c>
      <c r="I60" s="194" t="s">
        <v>173</v>
      </c>
      <c r="J60" s="202"/>
      <c r="K60" s="195" t="e">
        <f>C60*#REF!*#REF!/100</f>
        <v>#REF!</v>
      </c>
      <c r="L60" s="195" t="e">
        <f>D60*#REF!*#REF!/100</f>
        <v>#REF!</v>
      </c>
      <c r="M60" s="195" t="e">
        <f>E60*#REF!*#REF!/100</f>
        <v>#REF!</v>
      </c>
      <c r="N60" s="195" t="e">
        <f>F60*#REF!*#REF!/100</f>
        <v>#REF!</v>
      </c>
      <c r="O60" s="200" t="e">
        <f t="shared" ref="O60:O65" si="20">SUM(K60:N60)</f>
        <v>#REF!</v>
      </c>
    </row>
    <row r="61" spans="2:15">
      <c r="B61" s="194" t="s">
        <v>174</v>
      </c>
      <c r="C61" s="195"/>
      <c r="D61" s="195"/>
      <c r="E61" s="195">
        <v>3</v>
      </c>
      <c r="F61" s="195"/>
      <c r="G61" s="200">
        <f t="shared" si="19"/>
        <v>3</v>
      </c>
      <c r="I61" s="194" t="s">
        <v>174</v>
      </c>
      <c r="J61" s="202"/>
      <c r="K61" s="195" t="e">
        <f>C61*#REF!*#REF!/100</f>
        <v>#REF!</v>
      </c>
      <c r="L61" s="195" t="e">
        <f>D61*#REF!*#REF!/100</f>
        <v>#REF!</v>
      </c>
      <c r="M61" s="195" t="e">
        <f>E61*#REF!*#REF!/100</f>
        <v>#REF!</v>
      </c>
      <c r="N61" s="195" t="e">
        <f>F61*#REF!*#REF!/100</f>
        <v>#REF!</v>
      </c>
      <c r="O61" s="200" t="e">
        <f t="shared" si="20"/>
        <v>#REF!</v>
      </c>
    </row>
    <row r="62" spans="2:15">
      <c r="B62" s="194" t="s">
        <v>175</v>
      </c>
      <c r="C62" s="195"/>
      <c r="D62" s="195">
        <v>1</v>
      </c>
      <c r="E62" s="195"/>
      <c r="F62" s="195"/>
      <c r="G62" s="200">
        <f t="shared" si="19"/>
        <v>1</v>
      </c>
      <c r="I62" s="194" t="s">
        <v>175</v>
      </c>
      <c r="J62" s="202"/>
      <c r="K62" s="195" t="e">
        <f>C62*#REF!*#REF!/100</f>
        <v>#REF!</v>
      </c>
      <c r="L62" s="195" t="e">
        <f>D62*#REF!*#REF!/100</f>
        <v>#REF!</v>
      </c>
      <c r="M62" s="195" t="e">
        <f>E62*#REF!*#REF!/100</f>
        <v>#REF!</v>
      </c>
      <c r="N62" s="195" t="e">
        <f>F62*#REF!*#REF!/100</f>
        <v>#REF!</v>
      </c>
      <c r="O62" s="200" t="e">
        <f t="shared" si="20"/>
        <v>#REF!</v>
      </c>
    </row>
    <row r="63" spans="2:15">
      <c r="B63" s="194" t="s">
        <v>176</v>
      </c>
      <c r="C63" s="195">
        <v>1188</v>
      </c>
      <c r="D63" s="195">
        <v>839</v>
      </c>
      <c r="E63" s="195">
        <v>340</v>
      </c>
      <c r="F63" s="195"/>
      <c r="G63" s="200">
        <f t="shared" si="19"/>
        <v>2367</v>
      </c>
      <c r="I63" s="194" t="s">
        <v>176</v>
      </c>
      <c r="J63" s="202"/>
      <c r="K63" s="195" t="e">
        <f>C63*#REF!*#REF!/100</f>
        <v>#REF!</v>
      </c>
      <c r="L63" s="195" t="e">
        <f>D63*#REF!*#REF!/100</f>
        <v>#REF!</v>
      </c>
      <c r="M63" s="195" t="e">
        <f>E63*#REF!*#REF!/100</f>
        <v>#REF!</v>
      </c>
      <c r="N63" s="195" t="e">
        <f>F63*#REF!*#REF!/100</f>
        <v>#REF!</v>
      </c>
      <c r="O63" s="200" t="e">
        <f t="shared" si="20"/>
        <v>#REF!</v>
      </c>
    </row>
    <row r="64" spans="2:15">
      <c r="B64" s="194" t="s">
        <v>177</v>
      </c>
      <c r="C64" s="195">
        <v>6743</v>
      </c>
      <c r="D64" s="195">
        <v>16381</v>
      </c>
      <c r="E64" s="195">
        <v>3320</v>
      </c>
      <c r="F64" s="195"/>
      <c r="G64" s="200">
        <f t="shared" si="19"/>
        <v>26444</v>
      </c>
      <c r="I64" s="194" t="s">
        <v>177</v>
      </c>
      <c r="J64" s="202"/>
      <c r="K64" s="195" t="e">
        <f>C64*#REF!*#REF!/100</f>
        <v>#REF!</v>
      </c>
      <c r="L64" s="195" t="e">
        <f>D64*#REF!*#REF!/100</f>
        <v>#REF!</v>
      </c>
      <c r="M64" s="195" t="e">
        <f>E64*#REF!*#REF!/100</f>
        <v>#REF!</v>
      </c>
      <c r="N64" s="195" t="e">
        <f>F64*#REF!*#REF!/100</f>
        <v>#REF!</v>
      </c>
      <c r="O64" s="200" t="e">
        <f t="shared" si="20"/>
        <v>#REF!</v>
      </c>
    </row>
    <row r="65" spans="2:15">
      <c r="B65" s="194" t="s">
        <v>178</v>
      </c>
      <c r="C65" s="195">
        <v>10</v>
      </c>
      <c r="D65" s="195">
        <v>20</v>
      </c>
      <c r="E65" s="195">
        <v>19</v>
      </c>
      <c r="F65" s="195"/>
      <c r="G65" s="200">
        <f t="shared" si="19"/>
        <v>49</v>
      </c>
      <c r="I65" s="194" t="s">
        <v>178</v>
      </c>
      <c r="J65" s="202"/>
      <c r="K65" s="195" t="e">
        <f>C65*#REF!*#REF!/100</f>
        <v>#REF!</v>
      </c>
      <c r="L65" s="195" t="e">
        <f>D65*#REF!*#REF!/100</f>
        <v>#REF!</v>
      </c>
      <c r="M65" s="195" t="e">
        <f>E65*#REF!*#REF!/100</f>
        <v>#REF!</v>
      </c>
      <c r="N65" s="195" t="e">
        <f>F65*#REF!*#REF!/100</f>
        <v>#REF!</v>
      </c>
      <c r="O65" s="200" t="e">
        <f t="shared" si="20"/>
        <v>#REF!</v>
      </c>
    </row>
    <row r="66" spans="2:15">
      <c r="B66" s="196"/>
      <c r="C66" s="610" t="s">
        <v>167</v>
      </c>
      <c r="D66" s="610"/>
      <c r="E66" s="610"/>
      <c r="F66" s="610"/>
      <c r="G66" s="191"/>
      <c r="I66" s="196"/>
      <c r="J66" s="197"/>
      <c r="K66" s="610" t="s">
        <v>167</v>
      </c>
      <c r="L66" s="610"/>
      <c r="M66" s="610"/>
      <c r="N66" s="610"/>
      <c r="O66" s="191"/>
    </row>
    <row r="67" spans="2:15">
      <c r="B67" s="193" t="s">
        <v>179</v>
      </c>
      <c r="C67" s="187" t="s">
        <v>169</v>
      </c>
      <c r="D67" s="187" t="s">
        <v>170</v>
      </c>
      <c r="E67" s="187" t="s">
        <v>171</v>
      </c>
      <c r="F67" s="187" t="s">
        <v>172</v>
      </c>
      <c r="G67" s="190" t="s">
        <v>97</v>
      </c>
      <c r="I67" s="193" t="s">
        <v>179</v>
      </c>
      <c r="J67" s="187"/>
      <c r="K67" s="187" t="s">
        <v>169</v>
      </c>
      <c r="L67" s="187" t="s">
        <v>170</v>
      </c>
      <c r="M67" s="187" t="s">
        <v>171</v>
      </c>
      <c r="N67" s="187" t="s">
        <v>172</v>
      </c>
      <c r="O67" s="190" t="s">
        <v>97</v>
      </c>
    </row>
    <row r="68" spans="2:15">
      <c r="B68" s="194" t="s">
        <v>173</v>
      </c>
      <c r="C68" s="195"/>
      <c r="D68" s="195"/>
      <c r="E68" s="195">
        <v>5</v>
      </c>
      <c r="F68" s="195"/>
      <c r="G68" s="200">
        <f t="shared" ref="G68:G73" si="21">SUM(C68:F68)</f>
        <v>5</v>
      </c>
      <c r="I68" s="194" t="s">
        <v>173</v>
      </c>
      <c r="J68" s="202"/>
      <c r="K68" s="195" t="e">
        <f>C68*#REF!*#REF!/100</f>
        <v>#REF!</v>
      </c>
      <c r="L68" s="195" t="e">
        <f>D68*#REF!*#REF!/100</f>
        <v>#REF!</v>
      </c>
      <c r="M68" s="195" t="e">
        <f>E68*#REF!*#REF!/100</f>
        <v>#REF!</v>
      </c>
      <c r="N68" s="195" t="e">
        <f>F68*#REF!*#REF!/100</f>
        <v>#REF!</v>
      </c>
      <c r="O68" s="200" t="e">
        <f t="shared" ref="O68:O73" si="22">SUM(K68:N68)</f>
        <v>#REF!</v>
      </c>
    </row>
    <row r="69" spans="2:15">
      <c r="B69" s="194" t="s">
        <v>174</v>
      </c>
      <c r="C69" s="195"/>
      <c r="D69" s="195"/>
      <c r="E69" s="195"/>
      <c r="F69" s="195"/>
      <c r="G69" s="200">
        <f t="shared" si="21"/>
        <v>0</v>
      </c>
      <c r="I69" s="194" t="s">
        <v>174</v>
      </c>
      <c r="J69" s="202"/>
      <c r="K69" s="195" t="e">
        <f>C69*#REF!*#REF!/100</f>
        <v>#REF!</v>
      </c>
      <c r="L69" s="195" t="e">
        <f>D69*#REF!*#REF!/100</f>
        <v>#REF!</v>
      </c>
      <c r="M69" s="195" t="e">
        <f>E69*#REF!*#REF!/100</f>
        <v>#REF!</v>
      </c>
      <c r="N69" s="195" t="e">
        <f>F69*#REF!*#REF!/100</f>
        <v>#REF!</v>
      </c>
      <c r="O69" s="200" t="e">
        <f t="shared" si="22"/>
        <v>#REF!</v>
      </c>
    </row>
    <row r="70" spans="2:15">
      <c r="B70" s="194" t="s">
        <v>175</v>
      </c>
      <c r="C70" s="195"/>
      <c r="D70" s="195"/>
      <c r="E70" s="195"/>
      <c r="F70" s="195"/>
      <c r="G70" s="200">
        <f t="shared" si="21"/>
        <v>0</v>
      </c>
      <c r="I70" s="194" t="s">
        <v>175</v>
      </c>
      <c r="J70" s="202"/>
      <c r="K70" s="195" t="e">
        <f>C70*#REF!*#REF!/100</f>
        <v>#REF!</v>
      </c>
      <c r="L70" s="195" t="e">
        <f>D70*#REF!*#REF!/100</f>
        <v>#REF!</v>
      </c>
      <c r="M70" s="195" t="e">
        <f>E70*#REF!*#REF!/100</f>
        <v>#REF!</v>
      </c>
      <c r="N70" s="195" t="e">
        <f>F70*#REF!*#REF!/100</f>
        <v>#REF!</v>
      </c>
      <c r="O70" s="200" t="e">
        <f t="shared" si="22"/>
        <v>#REF!</v>
      </c>
    </row>
    <row r="71" spans="2:15">
      <c r="B71" s="194" t="s">
        <v>176</v>
      </c>
      <c r="C71" s="195">
        <v>49</v>
      </c>
      <c r="D71" s="195">
        <v>64</v>
      </c>
      <c r="E71" s="195">
        <v>47</v>
      </c>
      <c r="F71" s="195"/>
      <c r="G71" s="200">
        <f t="shared" si="21"/>
        <v>160</v>
      </c>
      <c r="I71" s="194" t="s">
        <v>176</v>
      </c>
      <c r="J71" s="202"/>
      <c r="K71" s="195" t="e">
        <f>C71*#REF!*#REF!/100</f>
        <v>#REF!</v>
      </c>
      <c r="L71" s="195" t="e">
        <f>D71*#REF!*#REF!/100</f>
        <v>#REF!</v>
      </c>
      <c r="M71" s="195" t="e">
        <f>E71*#REF!*#REF!/100</f>
        <v>#REF!</v>
      </c>
      <c r="N71" s="195" t="e">
        <f>F71*#REF!*#REF!/100</f>
        <v>#REF!</v>
      </c>
      <c r="O71" s="200" t="e">
        <f t="shared" si="22"/>
        <v>#REF!</v>
      </c>
    </row>
    <row r="72" spans="2:15">
      <c r="B72" s="194" t="s">
        <v>177</v>
      </c>
      <c r="C72" s="195">
        <v>30</v>
      </c>
      <c r="D72" s="195">
        <v>109</v>
      </c>
      <c r="E72" s="195">
        <v>11</v>
      </c>
      <c r="F72" s="195"/>
      <c r="G72" s="200">
        <f t="shared" si="21"/>
        <v>150</v>
      </c>
      <c r="I72" s="194" t="s">
        <v>177</v>
      </c>
      <c r="J72" s="202"/>
      <c r="K72" s="195" t="e">
        <f>C72*#REF!*#REF!/100</f>
        <v>#REF!</v>
      </c>
      <c r="L72" s="195" t="e">
        <f>D72*#REF!*#REF!/100</f>
        <v>#REF!</v>
      </c>
      <c r="M72" s="195" t="e">
        <f>E72*#REF!*#REF!/100</f>
        <v>#REF!</v>
      </c>
      <c r="N72" s="195" t="e">
        <f>F72*#REF!*#REF!/100</f>
        <v>#REF!</v>
      </c>
      <c r="O72" s="200" t="e">
        <f t="shared" si="22"/>
        <v>#REF!</v>
      </c>
    </row>
    <row r="73" spans="2:15">
      <c r="B73" s="194" t="s">
        <v>178</v>
      </c>
      <c r="C73" s="195">
        <v>2</v>
      </c>
      <c r="D73" s="195"/>
      <c r="E73" s="195">
        <v>3</v>
      </c>
      <c r="F73" s="195"/>
      <c r="G73" s="200">
        <f t="shared" si="21"/>
        <v>5</v>
      </c>
      <c r="I73" s="194" t="s">
        <v>178</v>
      </c>
      <c r="J73" s="202"/>
      <c r="K73" s="195" t="e">
        <f>C73*#REF!*#REF!/100</f>
        <v>#REF!</v>
      </c>
      <c r="L73" s="195" t="e">
        <f>D73*#REF!*#REF!/100</f>
        <v>#REF!</v>
      </c>
      <c r="M73" s="195" t="e">
        <f>E73*#REF!*#REF!/100</f>
        <v>#REF!</v>
      </c>
      <c r="N73" s="195" t="e">
        <f>F73*#REF!*#REF!/100</f>
        <v>#REF!</v>
      </c>
      <c r="O73" s="200" t="e">
        <f t="shared" si="22"/>
        <v>#REF!</v>
      </c>
    </row>
    <row r="74" spans="2:15">
      <c r="B74" s="196"/>
      <c r="C74" s="610" t="s">
        <v>163</v>
      </c>
      <c r="D74" s="610"/>
      <c r="E74" s="610"/>
      <c r="F74" s="610"/>
      <c r="G74" s="191"/>
      <c r="I74" s="196"/>
      <c r="J74" s="197"/>
      <c r="K74" s="610" t="s">
        <v>163</v>
      </c>
      <c r="L74" s="610"/>
      <c r="M74" s="610"/>
      <c r="N74" s="610"/>
      <c r="O74" s="191"/>
    </row>
    <row r="75" spans="2:15">
      <c r="B75" s="193" t="s">
        <v>179</v>
      </c>
      <c r="C75" s="187" t="s">
        <v>169</v>
      </c>
      <c r="D75" s="187" t="s">
        <v>170</v>
      </c>
      <c r="E75" s="187" t="s">
        <v>171</v>
      </c>
      <c r="F75" s="187" t="s">
        <v>172</v>
      </c>
      <c r="G75" s="190" t="s">
        <v>97</v>
      </c>
      <c r="I75" s="193" t="s">
        <v>179</v>
      </c>
      <c r="J75" s="187"/>
      <c r="K75" s="187" t="s">
        <v>169</v>
      </c>
      <c r="L75" s="187" t="s">
        <v>170</v>
      </c>
      <c r="M75" s="187" t="s">
        <v>171</v>
      </c>
      <c r="N75" s="187" t="s">
        <v>172</v>
      </c>
      <c r="O75" s="190" t="s">
        <v>97</v>
      </c>
    </row>
    <row r="76" spans="2:15">
      <c r="B76" s="194" t="s">
        <v>173</v>
      </c>
      <c r="C76" s="195"/>
      <c r="D76" s="195"/>
      <c r="E76" s="195"/>
      <c r="F76" s="195"/>
      <c r="G76" s="200">
        <f t="shared" ref="G76:G81" si="23">SUM(C76:F76)</f>
        <v>0</v>
      </c>
      <c r="I76" s="194" t="s">
        <v>173</v>
      </c>
      <c r="J76" s="202"/>
      <c r="K76" s="195" t="e">
        <f>C76*#REF!*#REF!/100</f>
        <v>#REF!</v>
      </c>
      <c r="L76" s="195" t="e">
        <f>D76*#REF!*#REF!/100</f>
        <v>#REF!</v>
      </c>
      <c r="M76" s="195" t="e">
        <f>E76*#REF!*#REF!/100</f>
        <v>#REF!</v>
      </c>
      <c r="N76" s="195" t="e">
        <f>F76*#REF!*#REF!/100</f>
        <v>#REF!</v>
      </c>
      <c r="O76" s="200" t="e">
        <f t="shared" ref="O76:O81" si="24">SUM(K76:N76)</f>
        <v>#REF!</v>
      </c>
    </row>
    <row r="77" spans="2:15">
      <c r="B77" s="194" t="s">
        <v>174</v>
      </c>
      <c r="C77" s="195"/>
      <c r="D77" s="195"/>
      <c r="E77" s="195"/>
      <c r="F77" s="195"/>
      <c r="G77" s="200">
        <f t="shared" si="23"/>
        <v>0</v>
      </c>
      <c r="I77" s="194" t="s">
        <v>174</v>
      </c>
      <c r="J77" s="202"/>
      <c r="K77" s="195" t="e">
        <f>C77*#REF!*#REF!/100</f>
        <v>#REF!</v>
      </c>
      <c r="L77" s="195" t="e">
        <f>D77*#REF!*#REF!/100</f>
        <v>#REF!</v>
      </c>
      <c r="M77" s="195" t="e">
        <f>E77*#REF!*#REF!/100</f>
        <v>#REF!</v>
      </c>
      <c r="N77" s="195" t="e">
        <f>F77*#REF!*#REF!/100</f>
        <v>#REF!</v>
      </c>
      <c r="O77" s="200" t="e">
        <f t="shared" si="24"/>
        <v>#REF!</v>
      </c>
    </row>
    <row r="78" spans="2:15">
      <c r="B78" s="194" t="s">
        <v>175</v>
      </c>
      <c r="C78" s="195"/>
      <c r="D78" s="195"/>
      <c r="E78" s="195"/>
      <c r="F78" s="195"/>
      <c r="G78" s="200">
        <f t="shared" si="23"/>
        <v>0</v>
      </c>
      <c r="I78" s="194" t="s">
        <v>175</v>
      </c>
      <c r="J78" s="202"/>
      <c r="K78" s="195" t="e">
        <f>C78*#REF!*#REF!/100</f>
        <v>#REF!</v>
      </c>
      <c r="L78" s="195" t="e">
        <f>D78*#REF!*#REF!/100</f>
        <v>#REF!</v>
      </c>
      <c r="M78" s="195" t="e">
        <f>E78*#REF!*#REF!/100</f>
        <v>#REF!</v>
      </c>
      <c r="N78" s="195" t="e">
        <f>F78*#REF!*#REF!/100</f>
        <v>#REF!</v>
      </c>
      <c r="O78" s="200" t="e">
        <f t="shared" si="24"/>
        <v>#REF!</v>
      </c>
    </row>
    <row r="79" spans="2:15">
      <c r="B79" s="194" t="s">
        <v>176</v>
      </c>
      <c r="C79" s="195"/>
      <c r="D79" s="195"/>
      <c r="E79" s="195"/>
      <c r="F79" s="195"/>
      <c r="G79" s="200">
        <f t="shared" si="23"/>
        <v>0</v>
      </c>
      <c r="I79" s="194" t="s">
        <v>176</v>
      </c>
      <c r="J79" s="202"/>
      <c r="K79" s="195" t="e">
        <f>C79*#REF!*#REF!/100</f>
        <v>#REF!</v>
      </c>
      <c r="L79" s="195" t="e">
        <f>D79*#REF!*#REF!/100</f>
        <v>#REF!</v>
      </c>
      <c r="M79" s="195" t="e">
        <f>E79*#REF!*#REF!/100</f>
        <v>#REF!</v>
      </c>
      <c r="N79" s="195" t="e">
        <f>F79*#REF!*#REF!/100</f>
        <v>#REF!</v>
      </c>
      <c r="O79" s="200" t="e">
        <f t="shared" si="24"/>
        <v>#REF!</v>
      </c>
    </row>
    <row r="80" spans="2:15">
      <c r="B80" s="194" t="s">
        <v>177</v>
      </c>
      <c r="C80" s="195"/>
      <c r="D80" s="195">
        <v>1</v>
      </c>
      <c r="E80" s="195"/>
      <c r="F80" s="195"/>
      <c r="G80" s="200">
        <f t="shared" si="23"/>
        <v>1</v>
      </c>
      <c r="I80" s="194" t="s">
        <v>177</v>
      </c>
      <c r="J80" s="202"/>
      <c r="K80" s="195" t="e">
        <f>C80*#REF!*#REF!/100</f>
        <v>#REF!</v>
      </c>
      <c r="L80" s="195" t="e">
        <f>D80*#REF!*#REF!/100</f>
        <v>#REF!</v>
      </c>
      <c r="M80" s="195" t="e">
        <f>E80*#REF!*#REF!/100</f>
        <v>#REF!</v>
      </c>
      <c r="N80" s="195" t="e">
        <f>F80*#REF!*#REF!/100</f>
        <v>#REF!</v>
      </c>
      <c r="O80" s="200" t="e">
        <f t="shared" si="24"/>
        <v>#REF!</v>
      </c>
    </row>
    <row r="81" spans="2:15">
      <c r="B81" s="194" t="s">
        <v>178</v>
      </c>
      <c r="C81" s="195"/>
      <c r="D81" s="195"/>
      <c r="E81" s="195"/>
      <c r="F81" s="195"/>
      <c r="G81" s="200">
        <f t="shared" si="23"/>
        <v>0</v>
      </c>
      <c r="I81" s="194" t="s">
        <v>178</v>
      </c>
      <c r="J81" s="202"/>
      <c r="K81" s="195" t="e">
        <f>C81*#REF!*#REF!/100</f>
        <v>#REF!</v>
      </c>
      <c r="L81" s="195" t="e">
        <f>D81*#REF!*#REF!/100</f>
        <v>#REF!</v>
      </c>
      <c r="M81" s="195" t="e">
        <f>E81*#REF!*#REF!/100</f>
        <v>#REF!</v>
      </c>
      <c r="N81" s="195" t="e">
        <f>F81*#REF!*#REF!/100</f>
        <v>#REF!</v>
      </c>
      <c r="O81" s="200" t="e">
        <f t="shared" si="24"/>
        <v>#REF!</v>
      </c>
    </row>
    <row r="82" spans="2:15">
      <c r="B82" s="196"/>
      <c r="C82" s="610" t="s">
        <v>165</v>
      </c>
      <c r="D82" s="610"/>
      <c r="E82" s="610"/>
      <c r="F82" s="610"/>
      <c r="G82" s="191"/>
      <c r="I82" s="196"/>
      <c r="J82" s="197"/>
      <c r="K82" s="610" t="s">
        <v>165</v>
      </c>
      <c r="L82" s="610"/>
      <c r="M82" s="610"/>
      <c r="N82" s="610"/>
      <c r="O82" s="191"/>
    </row>
    <row r="83" spans="2:15">
      <c r="B83" s="193" t="s">
        <v>179</v>
      </c>
      <c r="C83" s="187" t="s">
        <v>169</v>
      </c>
      <c r="D83" s="187" t="s">
        <v>170</v>
      </c>
      <c r="E83" s="187" t="s">
        <v>171</v>
      </c>
      <c r="F83" s="187" t="s">
        <v>172</v>
      </c>
      <c r="G83" s="190" t="s">
        <v>97</v>
      </c>
      <c r="I83" s="193" t="s">
        <v>179</v>
      </c>
      <c r="J83" s="187"/>
      <c r="K83" s="187" t="s">
        <v>169</v>
      </c>
      <c r="L83" s="187" t="s">
        <v>170</v>
      </c>
      <c r="M83" s="187" t="s">
        <v>171</v>
      </c>
      <c r="N83" s="187" t="s">
        <v>172</v>
      </c>
      <c r="O83" s="190" t="s">
        <v>97</v>
      </c>
    </row>
    <row r="84" spans="2:15">
      <c r="B84" s="194" t="s">
        <v>173</v>
      </c>
      <c r="C84" s="195"/>
      <c r="D84" s="195"/>
      <c r="E84" s="195"/>
      <c r="F84" s="195"/>
      <c r="G84" s="200">
        <f t="shared" ref="G84:G89" si="25">SUM(C84:F84)</f>
        <v>0</v>
      </c>
      <c r="I84" s="194" t="s">
        <v>173</v>
      </c>
      <c r="J84" s="202"/>
      <c r="K84" s="195" t="e">
        <f>C84*#REF!*#REF!/100</f>
        <v>#REF!</v>
      </c>
      <c r="L84" s="195" t="e">
        <f>D84*#REF!*#REF!/100</f>
        <v>#REF!</v>
      </c>
      <c r="M84" s="195" t="e">
        <f>E84*#REF!*#REF!/100</f>
        <v>#REF!</v>
      </c>
      <c r="N84" s="195" t="e">
        <f>F84*#REF!*#REF!/100</f>
        <v>#REF!</v>
      </c>
      <c r="O84" s="200" t="e">
        <f t="shared" ref="O84:O89" si="26">SUM(K84:N84)</f>
        <v>#REF!</v>
      </c>
    </row>
    <row r="85" spans="2:15">
      <c r="B85" s="194" t="s">
        <v>174</v>
      </c>
      <c r="C85" s="195"/>
      <c r="D85" s="195"/>
      <c r="E85" s="195"/>
      <c r="F85" s="195"/>
      <c r="G85" s="200">
        <f t="shared" si="25"/>
        <v>0</v>
      </c>
      <c r="I85" s="194" t="s">
        <v>174</v>
      </c>
      <c r="J85" s="202"/>
      <c r="K85" s="195" t="e">
        <f>C85*#REF!*#REF!/100</f>
        <v>#REF!</v>
      </c>
      <c r="L85" s="195" t="e">
        <f>D85*#REF!*#REF!/100</f>
        <v>#REF!</v>
      </c>
      <c r="M85" s="195" t="e">
        <f>E85*#REF!*#REF!/100</f>
        <v>#REF!</v>
      </c>
      <c r="N85" s="195" t="e">
        <f>F85*#REF!*#REF!/100</f>
        <v>#REF!</v>
      </c>
      <c r="O85" s="200" t="e">
        <f t="shared" si="26"/>
        <v>#REF!</v>
      </c>
    </row>
    <row r="86" spans="2:15">
      <c r="B86" s="194" t="s">
        <v>175</v>
      </c>
      <c r="C86" s="195"/>
      <c r="D86" s="195"/>
      <c r="E86" s="195"/>
      <c r="F86" s="195"/>
      <c r="G86" s="200">
        <f t="shared" si="25"/>
        <v>0</v>
      </c>
      <c r="I86" s="194" t="s">
        <v>175</v>
      </c>
      <c r="J86" s="202"/>
      <c r="K86" s="195" t="e">
        <f>C86*#REF!*#REF!/100</f>
        <v>#REF!</v>
      </c>
      <c r="L86" s="195" t="e">
        <f>D86*#REF!*#REF!/100</f>
        <v>#REF!</v>
      </c>
      <c r="M86" s="195" t="e">
        <f>E86*#REF!*#REF!/100</f>
        <v>#REF!</v>
      </c>
      <c r="N86" s="195" t="e">
        <f>F86*#REF!*#REF!/100</f>
        <v>#REF!</v>
      </c>
      <c r="O86" s="200" t="e">
        <f t="shared" si="26"/>
        <v>#REF!</v>
      </c>
    </row>
    <row r="87" spans="2:15">
      <c r="B87" s="194" t="s">
        <v>176</v>
      </c>
      <c r="C87" s="195"/>
      <c r="D87" s="195"/>
      <c r="E87" s="195"/>
      <c r="F87" s="195"/>
      <c r="G87" s="200">
        <f t="shared" si="25"/>
        <v>0</v>
      </c>
      <c r="I87" s="194" t="s">
        <v>176</v>
      </c>
      <c r="J87" s="202"/>
      <c r="K87" s="195" t="e">
        <f>C87*#REF!*#REF!/100</f>
        <v>#REF!</v>
      </c>
      <c r="L87" s="195" t="e">
        <f>D87*#REF!*#REF!/100</f>
        <v>#REF!</v>
      </c>
      <c r="M87" s="195" t="e">
        <f>E87*#REF!*#REF!/100</f>
        <v>#REF!</v>
      </c>
      <c r="N87" s="195" t="e">
        <f>F87*#REF!*#REF!/100</f>
        <v>#REF!</v>
      </c>
      <c r="O87" s="200" t="e">
        <f t="shared" si="26"/>
        <v>#REF!</v>
      </c>
    </row>
    <row r="88" spans="2:15">
      <c r="B88" s="194" t="s">
        <v>177</v>
      </c>
      <c r="C88" s="195"/>
      <c r="D88" s="195">
        <v>3</v>
      </c>
      <c r="E88" s="195"/>
      <c r="F88" s="195"/>
      <c r="G88" s="200">
        <f t="shared" si="25"/>
        <v>3</v>
      </c>
      <c r="I88" s="194" t="s">
        <v>177</v>
      </c>
      <c r="J88" s="202"/>
      <c r="K88" s="195" t="e">
        <f>C88*#REF!*#REF!/100</f>
        <v>#REF!</v>
      </c>
      <c r="L88" s="195" t="e">
        <f>D88*#REF!*#REF!/100</f>
        <v>#REF!</v>
      </c>
      <c r="M88" s="195" t="e">
        <f>E88*#REF!*#REF!/100</f>
        <v>#REF!</v>
      </c>
      <c r="N88" s="195" t="e">
        <f>F88*#REF!*#REF!/100</f>
        <v>#REF!</v>
      </c>
      <c r="O88" s="200" t="e">
        <f t="shared" si="26"/>
        <v>#REF!</v>
      </c>
    </row>
    <row r="89" spans="2:15">
      <c r="B89" s="194" t="s">
        <v>178</v>
      </c>
      <c r="C89" s="195"/>
      <c r="D89" s="195"/>
      <c r="E89" s="195"/>
      <c r="F89" s="195"/>
      <c r="G89" s="200">
        <f t="shared" si="25"/>
        <v>0</v>
      </c>
      <c r="I89" s="194" t="s">
        <v>178</v>
      </c>
      <c r="J89" s="202"/>
      <c r="K89" s="195" t="e">
        <f>C89*#REF!*#REF!/100</f>
        <v>#REF!</v>
      </c>
      <c r="L89" s="195" t="e">
        <f>D89*#REF!*#REF!/100</f>
        <v>#REF!</v>
      </c>
      <c r="M89" s="195" t="e">
        <f>E89*#REF!*#REF!/100</f>
        <v>#REF!</v>
      </c>
      <c r="N89" s="195" t="e">
        <f>F89*#REF!*#REF!/100</f>
        <v>#REF!</v>
      </c>
      <c r="O89" s="200" t="e">
        <f t="shared" si="26"/>
        <v>#REF!</v>
      </c>
    </row>
    <row r="90" spans="2:15">
      <c r="B90" s="196"/>
      <c r="C90" s="610" t="s">
        <v>164</v>
      </c>
      <c r="D90" s="610"/>
      <c r="E90" s="610"/>
      <c r="F90" s="610"/>
      <c r="G90" s="191"/>
      <c r="I90" s="196"/>
      <c r="J90" s="197"/>
      <c r="K90" s="610" t="s">
        <v>164</v>
      </c>
      <c r="L90" s="610"/>
      <c r="M90" s="610"/>
      <c r="N90" s="610"/>
      <c r="O90" s="191"/>
    </row>
    <row r="91" spans="2:15">
      <c r="B91" s="193" t="s">
        <v>179</v>
      </c>
      <c r="C91" s="187" t="s">
        <v>169</v>
      </c>
      <c r="D91" s="187" t="s">
        <v>170</v>
      </c>
      <c r="E91" s="187" t="s">
        <v>171</v>
      </c>
      <c r="F91" s="187" t="s">
        <v>172</v>
      </c>
      <c r="G91" s="190" t="s">
        <v>97</v>
      </c>
      <c r="I91" s="193" t="s">
        <v>179</v>
      </c>
      <c r="J91" s="187"/>
      <c r="K91" s="187" t="s">
        <v>169</v>
      </c>
      <c r="L91" s="187" t="s">
        <v>170</v>
      </c>
      <c r="M91" s="187" t="s">
        <v>171</v>
      </c>
      <c r="N91" s="187" t="s">
        <v>172</v>
      </c>
      <c r="O91" s="190" t="s">
        <v>97</v>
      </c>
    </row>
    <row r="92" spans="2:15">
      <c r="B92" s="194" t="s">
        <v>173</v>
      </c>
      <c r="C92" s="195"/>
      <c r="D92" s="195"/>
      <c r="E92" s="195"/>
      <c r="F92" s="195"/>
      <c r="G92" s="200">
        <f t="shared" ref="G92:G97" si="27">SUM(C92:F92)</f>
        <v>0</v>
      </c>
      <c r="I92" s="194" t="s">
        <v>173</v>
      </c>
      <c r="J92" s="202"/>
      <c r="K92" s="195" t="e">
        <f>C92*#REF!*#REF!/100</f>
        <v>#REF!</v>
      </c>
      <c r="L92" s="195" t="e">
        <f>D92*#REF!*#REF!/100</f>
        <v>#REF!</v>
      </c>
      <c r="M92" s="195" t="e">
        <f>E92*#REF!*#REF!/100</f>
        <v>#REF!</v>
      </c>
      <c r="N92" s="195" t="e">
        <f>F92*#REF!*#REF!/100</f>
        <v>#REF!</v>
      </c>
      <c r="O92" s="200" t="e">
        <f t="shared" ref="O92:O97" si="28">SUM(K92:N92)</f>
        <v>#REF!</v>
      </c>
    </row>
    <row r="93" spans="2:15">
      <c r="B93" s="194" t="s">
        <v>174</v>
      </c>
      <c r="C93" s="195"/>
      <c r="D93" s="195"/>
      <c r="E93" s="195"/>
      <c r="F93" s="195"/>
      <c r="G93" s="200">
        <f t="shared" si="27"/>
        <v>0</v>
      </c>
      <c r="I93" s="194" t="s">
        <v>174</v>
      </c>
      <c r="J93" s="202"/>
      <c r="K93" s="195" t="e">
        <f>C93*#REF!*#REF!/100</f>
        <v>#REF!</v>
      </c>
      <c r="L93" s="195" t="e">
        <f>D93*#REF!*#REF!/100</f>
        <v>#REF!</v>
      </c>
      <c r="M93" s="195" t="e">
        <f>E93*#REF!*#REF!/100</f>
        <v>#REF!</v>
      </c>
      <c r="N93" s="195" t="e">
        <f>F93*#REF!*#REF!/100</f>
        <v>#REF!</v>
      </c>
      <c r="O93" s="200" t="e">
        <f t="shared" si="28"/>
        <v>#REF!</v>
      </c>
    </row>
    <row r="94" spans="2:15">
      <c r="B94" s="194" t="s">
        <v>175</v>
      </c>
      <c r="C94" s="195">
        <v>1</v>
      </c>
      <c r="D94" s="195"/>
      <c r="E94" s="195"/>
      <c r="F94" s="195"/>
      <c r="G94" s="200">
        <f t="shared" si="27"/>
        <v>1</v>
      </c>
      <c r="I94" s="194" t="s">
        <v>175</v>
      </c>
      <c r="J94" s="202"/>
      <c r="K94" s="195" t="e">
        <f>C94*#REF!*#REF!/100</f>
        <v>#REF!</v>
      </c>
      <c r="L94" s="195" t="e">
        <f>D94*#REF!*#REF!/100</f>
        <v>#REF!</v>
      </c>
      <c r="M94" s="195" t="e">
        <f>E94*#REF!*#REF!/100</f>
        <v>#REF!</v>
      </c>
      <c r="N94" s="195" t="e">
        <f>F94*#REF!*#REF!/100</f>
        <v>#REF!</v>
      </c>
      <c r="O94" s="200" t="e">
        <f t="shared" si="28"/>
        <v>#REF!</v>
      </c>
    </row>
    <row r="95" spans="2:15">
      <c r="B95" s="194" t="s">
        <v>176</v>
      </c>
      <c r="C95" s="195">
        <v>1</v>
      </c>
      <c r="D95" s="195"/>
      <c r="E95" s="195"/>
      <c r="F95" s="195"/>
      <c r="G95" s="200">
        <f t="shared" si="27"/>
        <v>1</v>
      </c>
      <c r="I95" s="194" t="s">
        <v>176</v>
      </c>
      <c r="J95" s="202"/>
      <c r="K95" s="195" t="e">
        <f>C95*#REF!*#REF!/100</f>
        <v>#REF!</v>
      </c>
      <c r="L95" s="195" t="e">
        <f>D95*#REF!*#REF!/100</f>
        <v>#REF!</v>
      </c>
      <c r="M95" s="195" t="e">
        <f>E95*#REF!*#REF!/100</f>
        <v>#REF!</v>
      </c>
      <c r="N95" s="195" t="e">
        <f>F95*#REF!*#REF!/100</f>
        <v>#REF!</v>
      </c>
      <c r="O95" s="200" t="e">
        <f t="shared" si="28"/>
        <v>#REF!</v>
      </c>
    </row>
    <row r="96" spans="2:15">
      <c r="B96" s="194" t="s">
        <v>177</v>
      </c>
      <c r="C96" s="195"/>
      <c r="D96" s="195"/>
      <c r="E96" s="195"/>
      <c r="F96" s="195"/>
      <c r="G96" s="200">
        <f t="shared" si="27"/>
        <v>0</v>
      </c>
      <c r="I96" s="194" t="s">
        <v>177</v>
      </c>
      <c r="J96" s="202"/>
      <c r="K96" s="195" t="e">
        <f>C96*#REF!*#REF!/100</f>
        <v>#REF!</v>
      </c>
      <c r="L96" s="195" t="e">
        <f>D96*#REF!*#REF!/100</f>
        <v>#REF!</v>
      </c>
      <c r="M96" s="195" t="e">
        <f>E96*#REF!*#REF!/100</f>
        <v>#REF!</v>
      </c>
      <c r="N96" s="195" t="e">
        <f>F96*#REF!*#REF!/100</f>
        <v>#REF!</v>
      </c>
      <c r="O96" s="200" t="e">
        <f t="shared" si="28"/>
        <v>#REF!</v>
      </c>
    </row>
    <row r="97" spans="2:18" ht="15.75" thickBot="1">
      <c r="B97" s="198" t="s">
        <v>178</v>
      </c>
      <c r="C97" s="199"/>
      <c r="D97" s="199"/>
      <c r="E97" s="199"/>
      <c r="F97" s="199"/>
      <c r="G97" s="201">
        <f t="shared" si="27"/>
        <v>0</v>
      </c>
      <c r="I97" s="198" t="s">
        <v>178</v>
      </c>
      <c r="J97" s="204"/>
      <c r="K97" s="199" t="e">
        <f>C97*#REF!*#REF!/100</f>
        <v>#REF!</v>
      </c>
      <c r="L97" s="199" t="e">
        <f>D97*#REF!*#REF!/100</f>
        <v>#REF!</v>
      </c>
      <c r="M97" s="199" t="e">
        <f>E97*#REF!*#REF!/100</f>
        <v>#REF!</v>
      </c>
      <c r="N97" s="199" t="e">
        <f>F97*#REF!*#REF!/100</f>
        <v>#REF!</v>
      </c>
      <c r="O97" s="201" t="e">
        <f t="shared" si="28"/>
        <v>#REF!</v>
      </c>
    </row>
    <row r="99" spans="2:18" ht="60">
      <c r="B99" s="3" t="s">
        <v>186</v>
      </c>
      <c r="E99" s="218" t="s">
        <v>196</v>
      </c>
      <c r="F99" s="3" t="s">
        <v>205</v>
      </c>
      <c r="G99" s="63" t="s">
        <v>197</v>
      </c>
      <c r="H99" s="218" t="s">
        <v>198</v>
      </c>
      <c r="I99" s="218" t="s">
        <v>203</v>
      </c>
      <c r="J99" s="63" t="s">
        <v>199</v>
      </c>
      <c r="K99" s="63"/>
      <c r="L99" s="63" t="s">
        <v>200</v>
      </c>
      <c r="M99" s="63" t="s">
        <v>201</v>
      </c>
      <c r="N99" s="63" t="s">
        <v>202</v>
      </c>
    </row>
    <row r="100" spans="2:18">
      <c r="B100" s="3">
        <v>2287</v>
      </c>
      <c r="C100" s="3" t="s">
        <v>187</v>
      </c>
      <c r="E100" s="63">
        <v>6824</v>
      </c>
      <c r="F100" s="221">
        <v>0.28000000000000003</v>
      </c>
      <c r="G100" s="63">
        <v>61</v>
      </c>
      <c r="H100" s="63">
        <v>5527</v>
      </c>
      <c r="I100" s="63">
        <v>676</v>
      </c>
      <c r="J100" s="63">
        <v>314</v>
      </c>
      <c r="K100" s="63">
        <v>164</v>
      </c>
      <c r="L100" s="63">
        <v>75</v>
      </c>
      <c r="M100" s="63">
        <v>7</v>
      </c>
      <c r="N100" s="63"/>
    </row>
    <row r="101" spans="2:18">
      <c r="B101" s="3">
        <v>2257</v>
      </c>
      <c r="C101" s="3" t="s">
        <v>188</v>
      </c>
      <c r="E101" s="63">
        <v>8465</v>
      </c>
      <c r="F101" s="221">
        <v>0.28000000000000003</v>
      </c>
      <c r="G101" s="63">
        <v>51</v>
      </c>
      <c r="H101" s="63">
        <v>7018</v>
      </c>
      <c r="I101" s="63">
        <v>779</v>
      </c>
      <c r="J101" s="63">
        <v>271</v>
      </c>
      <c r="K101" s="63">
        <v>245</v>
      </c>
      <c r="L101" s="63">
        <v>93</v>
      </c>
      <c r="M101" s="63">
        <v>8</v>
      </c>
      <c r="N101" s="63"/>
    </row>
    <row r="102" spans="2:18">
      <c r="B102" s="3">
        <v>2146</v>
      </c>
      <c r="C102" s="3" t="s">
        <v>189</v>
      </c>
      <c r="E102" s="63">
        <v>1556</v>
      </c>
      <c r="F102" s="221">
        <v>0.28000000000000003</v>
      </c>
      <c r="G102" s="63">
        <v>37</v>
      </c>
      <c r="H102" s="63">
        <v>1340</v>
      </c>
      <c r="I102" s="63">
        <v>120</v>
      </c>
      <c r="J102" s="63">
        <v>34</v>
      </c>
      <c r="K102" s="63">
        <v>17</v>
      </c>
      <c r="L102" s="63">
        <v>5</v>
      </c>
      <c r="M102" s="63">
        <v>3</v>
      </c>
      <c r="N102" s="63"/>
    </row>
    <row r="103" spans="2:18">
      <c r="B103" s="3">
        <v>2110</v>
      </c>
      <c r="C103" s="3" t="s">
        <v>190</v>
      </c>
      <c r="E103" s="63">
        <v>9568</v>
      </c>
      <c r="F103" s="221">
        <v>0.28000000000000003</v>
      </c>
      <c r="G103" s="63">
        <v>96</v>
      </c>
      <c r="H103" s="63">
        <v>7520</v>
      </c>
      <c r="I103" s="63">
        <v>823</v>
      </c>
      <c r="J103" s="63">
        <v>411</v>
      </c>
      <c r="K103" s="63">
        <v>641</v>
      </c>
      <c r="L103" s="63">
        <v>67</v>
      </c>
      <c r="M103" s="63">
        <v>10</v>
      </c>
      <c r="N103" s="63"/>
    </row>
    <row r="104" spans="2:18">
      <c r="B104" s="3">
        <v>2093</v>
      </c>
      <c r="C104" s="3" t="s">
        <v>191</v>
      </c>
      <c r="E104" s="63">
        <v>12307</v>
      </c>
      <c r="F104" s="221">
        <v>0.28000000000000003</v>
      </c>
      <c r="G104" s="63">
        <v>86</v>
      </c>
      <c r="H104" s="63">
        <v>10794</v>
      </c>
      <c r="I104" s="63">
        <v>886</v>
      </c>
      <c r="J104" s="63">
        <v>283</v>
      </c>
      <c r="K104" s="63">
        <v>197</v>
      </c>
      <c r="L104" s="63">
        <v>49</v>
      </c>
      <c r="M104" s="63">
        <v>12</v>
      </c>
      <c r="N104" s="63"/>
    </row>
    <row r="105" spans="2:18">
      <c r="B105" s="3">
        <v>2072</v>
      </c>
      <c r="C105" s="3" t="s">
        <v>192</v>
      </c>
      <c r="E105" s="63">
        <v>2262</v>
      </c>
      <c r="F105" s="221">
        <v>0.28000000000000003</v>
      </c>
      <c r="G105" s="63">
        <v>50</v>
      </c>
      <c r="H105" s="63">
        <v>1942</v>
      </c>
      <c r="I105" s="63">
        <v>111</v>
      </c>
      <c r="J105" s="63">
        <v>29</v>
      </c>
      <c r="K105" s="63">
        <v>81</v>
      </c>
      <c r="L105" s="63">
        <v>38</v>
      </c>
      <c r="M105" s="63">
        <v>11</v>
      </c>
      <c r="N105" s="63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3">
        <v>14901</v>
      </c>
      <c r="F106" s="221">
        <v>0.28000000000000003</v>
      </c>
      <c r="G106" s="63">
        <v>36</v>
      </c>
      <c r="H106" s="63">
        <v>10271</v>
      </c>
      <c r="I106" s="63">
        <v>1726</v>
      </c>
      <c r="J106" s="63">
        <v>711</v>
      </c>
      <c r="K106" s="63">
        <v>1951</v>
      </c>
      <c r="L106" s="63">
        <v>183</v>
      </c>
      <c r="M106" s="63">
        <v>23</v>
      </c>
      <c r="N106" s="63">
        <v>17</v>
      </c>
      <c r="O106" s="44"/>
      <c r="P106" s="211"/>
      <c r="Q106" s="44"/>
      <c r="R106" s="44"/>
    </row>
    <row r="107" spans="2:18">
      <c r="B107" s="3">
        <v>30208</v>
      </c>
      <c r="C107" s="3" t="s">
        <v>194</v>
      </c>
      <c r="E107" s="63">
        <v>62187</v>
      </c>
      <c r="F107" s="221">
        <v>0.28000000000000003</v>
      </c>
      <c r="G107" s="63">
        <v>199</v>
      </c>
      <c r="H107" s="63">
        <v>49826</v>
      </c>
      <c r="I107" s="63">
        <v>5098</v>
      </c>
      <c r="J107" s="63">
        <v>1385</v>
      </c>
      <c r="K107" s="63">
        <v>4759</v>
      </c>
      <c r="L107" s="63">
        <v>916</v>
      </c>
      <c r="M107" s="63">
        <v>4</v>
      </c>
      <c r="N107" s="63">
        <v>18</v>
      </c>
      <c r="O107" s="44"/>
      <c r="P107" s="212"/>
      <c r="Q107" s="44"/>
      <c r="R107" s="44"/>
    </row>
    <row r="108" spans="2:18">
      <c r="B108" s="3">
        <v>30716</v>
      </c>
      <c r="C108" s="3" t="s">
        <v>195</v>
      </c>
      <c r="E108" s="63">
        <v>32034</v>
      </c>
      <c r="F108" s="221">
        <v>0.28000000000000003</v>
      </c>
      <c r="G108" s="63">
        <v>99</v>
      </c>
      <c r="H108" s="63">
        <v>23621</v>
      </c>
      <c r="I108" s="63">
        <v>3733</v>
      </c>
      <c r="J108" s="63">
        <v>1543</v>
      </c>
      <c r="K108" s="63">
        <v>2665</v>
      </c>
      <c r="L108" s="63">
        <v>367</v>
      </c>
      <c r="M108" s="63">
        <v>6</v>
      </c>
      <c r="N108" s="63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20">
        <f>AVERAGE(F100:F108)</f>
        <v>0.28000000000000003</v>
      </c>
      <c r="O109" s="44"/>
      <c r="P109" s="44"/>
      <c r="Q109" s="44"/>
      <c r="R109" s="44"/>
    </row>
    <row r="111" spans="2:18">
      <c r="E111" s="63">
        <v>6824</v>
      </c>
      <c r="G111" s="219">
        <f t="shared" ref="G111:N119" si="29">G100/$E100</f>
        <v>8.9390386869871042E-3</v>
      </c>
      <c r="H111" s="219">
        <f t="shared" si="29"/>
        <v>0.80993552168815941</v>
      </c>
      <c r="I111" s="219">
        <f t="shared" si="29"/>
        <v>9.9062133645955452E-2</v>
      </c>
      <c r="J111" s="219">
        <f t="shared" si="29"/>
        <v>4.6014067995310666E-2</v>
      </c>
      <c r="K111" s="219">
        <f t="shared" si="29"/>
        <v>2.4032825322391559E-2</v>
      </c>
      <c r="L111" s="219">
        <f t="shared" si="29"/>
        <v>1.0990621336459554E-2</v>
      </c>
      <c r="M111" s="219">
        <f t="shared" si="29"/>
        <v>1.0257913247362252E-3</v>
      </c>
      <c r="N111" s="219">
        <f t="shared" si="29"/>
        <v>0</v>
      </c>
    </row>
    <row r="112" spans="2:18">
      <c r="E112" s="63">
        <v>8465</v>
      </c>
      <c r="G112" s="219">
        <f t="shared" si="29"/>
        <v>6.0248080330773772E-3</v>
      </c>
      <c r="H112" s="219">
        <f t="shared" si="29"/>
        <v>0.82906083874778502</v>
      </c>
      <c r="I112" s="219">
        <f t="shared" si="29"/>
        <v>9.2025989367985825E-2</v>
      </c>
      <c r="J112" s="219">
        <f t="shared" si="29"/>
        <v>3.2014176018901358E-2</v>
      </c>
      <c r="K112" s="219">
        <f t="shared" si="29"/>
        <v>2.8942705256940343E-2</v>
      </c>
      <c r="L112" s="219">
        <f t="shared" si="29"/>
        <v>1.0986414648552864E-2</v>
      </c>
      <c r="M112" s="219">
        <f t="shared" si="29"/>
        <v>9.4506792675723569E-4</v>
      </c>
      <c r="N112" s="219">
        <f t="shared" si="29"/>
        <v>0</v>
      </c>
    </row>
    <row r="113" spans="2:14">
      <c r="E113" s="63">
        <v>1556</v>
      </c>
      <c r="G113" s="219">
        <f t="shared" si="29"/>
        <v>2.377892030848329E-2</v>
      </c>
      <c r="H113" s="219">
        <f t="shared" si="29"/>
        <v>0.86118251928020562</v>
      </c>
      <c r="I113" s="219">
        <f t="shared" si="29"/>
        <v>7.7120822622107968E-2</v>
      </c>
      <c r="J113" s="219">
        <f t="shared" si="29"/>
        <v>2.1850899742930592E-2</v>
      </c>
      <c r="K113" s="219">
        <f t="shared" si="29"/>
        <v>1.0925449871465296E-2</v>
      </c>
      <c r="L113" s="219">
        <f t="shared" si="29"/>
        <v>3.2133676092544988E-3</v>
      </c>
      <c r="M113" s="219">
        <f t="shared" si="29"/>
        <v>1.9280205655526992E-3</v>
      </c>
      <c r="N113" s="219">
        <f t="shared" si="29"/>
        <v>0</v>
      </c>
    </row>
    <row r="114" spans="2:14">
      <c r="E114" s="63">
        <v>9568</v>
      </c>
      <c r="G114" s="219">
        <f t="shared" si="29"/>
        <v>1.0033444816053512E-2</v>
      </c>
      <c r="H114" s="219">
        <f t="shared" si="29"/>
        <v>0.78595317725752512</v>
      </c>
      <c r="I114" s="219">
        <f t="shared" si="29"/>
        <v>8.6015886287625423E-2</v>
      </c>
      <c r="J114" s="219">
        <f t="shared" si="29"/>
        <v>4.2955685618729096E-2</v>
      </c>
      <c r="K114" s="219">
        <f t="shared" si="29"/>
        <v>6.6994147157190639E-2</v>
      </c>
      <c r="L114" s="219">
        <f t="shared" si="29"/>
        <v>7.0025083612040131E-3</v>
      </c>
      <c r="M114" s="219">
        <f t="shared" si="29"/>
        <v>1.0451505016722408E-3</v>
      </c>
      <c r="N114" s="219">
        <f t="shared" si="29"/>
        <v>0</v>
      </c>
    </row>
    <row r="115" spans="2:14">
      <c r="E115" s="63">
        <v>12307</v>
      </c>
      <c r="G115" s="219">
        <f t="shared" si="29"/>
        <v>6.9878930689851303E-3</v>
      </c>
      <c r="H115" s="219">
        <f t="shared" si="29"/>
        <v>0.87706183472820343</v>
      </c>
      <c r="I115" s="219">
        <f t="shared" si="29"/>
        <v>7.1991549524660761E-2</v>
      </c>
      <c r="J115" s="219">
        <f t="shared" si="29"/>
        <v>2.2995043471195256E-2</v>
      </c>
      <c r="K115" s="219">
        <f t="shared" si="29"/>
        <v>1.6007150402210124E-2</v>
      </c>
      <c r="L115" s="219">
        <f t="shared" si="29"/>
        <v>3.9814739579101324E-3</v>
      </c>
      <c r="M115" s="219">
        <f t="shared" si="29"/>
        <v>9.7505484683513451E-4</v>
      </c>
      <c r="N115" s="219">
        <f t="shared" si="29"/>
        <v>0</v>
      </c>
    </row>
    <row r="116" spans="2:14">
      <c r="E116" s="63">
        <v>2262</v>
      </c>
      <c r="G116" s="219">
        <f t="shared" si="29"/>
        <v>2.2104332449160036E-2</v>
      </c>
      <c r="H116" s="219">
        <f t="shared" si="29"/>
        <v>0.85853227232537577</v>
      </c>
      <c r="I116" s="219">
        <f t="shared" si="29"/>
        <v>4.9071618037135278E-2</v>
      </c>
      <c r="J116" s="219">
        <f t="shared" si="29"/>
        <v>1.282051282051282E-2</v>
      </c>
      <c r="K116" s="219">
        <f t="shared" si="29"/>
        <v>3.580901856763926E-2</v>
      </c>
      <c r="L116" s="219">
        <f t="shared" si="29"/>
        <v>1.6799292661361626E-2</v>
      </c>
      <c r="M116" s="219">
        <f t="shared" si="29"/>
        <v>4.8629531388152082E-3</v>
      </c>
      <c r="N116" s="219">
        <f t="shared" si="29"/>
        <v>0</v>
      </c>
    </row>
    <row r="117" spans="2:14">
      <c r="E117" s="63">
        <v>14901</v>
      </c>
      <c r="G117" s="219">
        <f t="shared" si="29"/>
        <v>2.4159452385745924E-3</v>
      </c>
      <c r="H117" s="219">
        <f t="shared" si="29"/>
        <v>0.68928259848332329</v>
      </c>
      <c r="I117" s="219">
        <f t="shared" si="29"/>
        <v>0.11583115227165962</v>
      </c>
      <c r="J117" s="219">
        <f t="shared" si="29"/>
        <v>4.7714918461848201E-2</v>
      </c>
      <c r="K117" s="219">
        <f t="shared" si="29"/>
        <v>0.13093081001275081</v>
      </c>
      <c r="L117" s="219">
        <f t="shared" si="29"/>
        <v>1.2281054962754178E-2</v>
      </c>
      <c r="M117" s="219">
        <f t="shared" si="29"/>
        <v>1.5435205690893228E-3</v>
      </c>
      <c r="N117" s="219">
        <f t="shared" si="29"/>
        <v>1.1408630293268907E-3</v>
      </c>
    </row>
    <row r="118" spans="2:14">
      <c r="E118" s="63">
        <v>62187</v>
      </c>
      <c r="G118" s="219">
        <f t="shared" si="29"/>
        <v>3.2000257288500814E-3</v>
      </c>
      <c r="H118" s="219">
        <f t="shared" si="29"/>
        <v>0.8012285525913776</v>
      </c>
      <c r="I118" s="219">
        <f t="shared" si="29"/>
        <v>8.19785485712448E-2</v>
      </c>
      <c r="J118" s="219">
        <f t="shared" si="29"/>
        <v>2.2271535851544535E-2</v>
      </c>
      <c r="K118" s="219">
        <f t="shared" si="29"/>
        <v>7.6527248460289132E-2</v>
      </c>
      <c r="L118" s="219">
        <f t="shared" si="29"/>
        <v>1.4729766671490827E-2</v>
      </c>
      <c r="M118" s="219">
        <f t="shared" si="29"/>
        <v>6.4322125203016708E-5</v>
      </c>
      <c r="N118" s="219">
        <f t="shared" si="29"/>
        <v>2.8944956341357518E-4</v>
      </c>
    </row>
    <row r="119" spans="2:14">
      <c r="E119" s="63">
        <v>32034</v>
      </c>
      <c r="G119" s="219">
        <f t="shared" si="29"/>
        <v>3.0904663794718112E-3</v>
      </c>
      <c r="H119" s="219">
        <f t="shared" si="29"/>
        <v>0.73737279140912781</v>
      </c>
      <c r="I119" s="219">
        <f t="shared" si="29"/>
        <v>0.1165324342885684</v>
      </c>
      <c r="J119" s="219">
        <f t="shared" si="29"/>
        <v>4.8167571954798025E-2</v>
      </c>
      <c r="K119" s="219">
        <f t="shared" si="29"/>
        <v>8.3192857588811883E-2</v>
      </c>
      <c r="L119" s="219">
        <f t="shared" si="29"/>
        <v>1.1456577386526815E-2</v>
      </c>
      <c r="M119" s="219">
        <f t="shared" si="29"/>
        <v>1.8730099269526128E-4</v>
      </c>
      <c r="N119" s="219">
        <f t="shared" si="29"/>
        <v>1.9666604233002437E-3</v>
      </c>
    </row>
    <row r="120" spans="2:14">
      <c r="E120" s="3">
        <f>AVERAGE(E111:E119)</f>
        <v>16678.222222222223</v>
      </c>
      <c r="G120" s="220">
        <f t="shared" ref="G120:N120" si="30">AVERAGE(G111:G119)</f>
        <v>9.6194305232936619E-3</v>
      </c>
      <c r="H120" s="220">
        <f t="shared" si="30"/>
        <v>0.80551223405678696</v>
      </c>
      <c r="I120" s="220">
        <f t="shared" si="30"/>
        <v>8.773668162410482E-2</v>
      </c>
      <c r="J120" s="220">
        <f t="shared" si="30"/>
        <v>3.2978267992863394E-2</v>
      </c>
      <c r="K120" s="220">
        <f t="shared" si="30"/>
        <v>5.2595801404409892E-2</v>
      </c>
      <c r="L120" s="220">
        <f t="shared" si="30"/>
        <v>1.0160119732834946E-2</v>
      </c>
      <c r="M120" s="220">
        <f t="shared" si="30"/>
        <v>1.3974646657062603E-3</v>
      </c>
      <c r="N120" s="220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608" t="s">
        <v>185</v>
      </c>
      <c r="C124" s="609"/>
      <c r="D124" s="609"/>
      <c r="E124" s="609"/>
      <c r="F124" s="609"/>
      <c r="G124" s="609"/>
      <c r="H124" s="609"/>
    </row>
    <row r="125" spans="2:14" ht="30">
      <c r="B125" s="213" t="s">
        <v>157</v>
      </c>
      <c r="C125" s="214" t="s">
        <v>119</v>
      </c>
      <c r="D125" s="214" t="s">
        <v>120</v>
      </c>
      <c r="E125" s="214" t="s">
        <v>182</v>
      </c>
      <c r="F125" s="214" t="s">
        <v>183</v>
      </c>
      <c r="G125" s="214" t="s">
        <v>184</v>
      </c>
      <c r="H125" s="215" t="s">
        <v>121</v>
      </c>
    </row>
    <row r="126" spans="2:14" ht="15.75" thickBot="1">
      <c r="B126" s="121">
        <v>356</v>
      </c>
      <c r="C126" s="216">
        <f>B126*365</f>
        <v>129940</v>
      </c>
      <c r="D126" s="91" t="e">
        <f>C126*#REF!</f>
        <v>#REF!</v>
      </c>
      <c r="E126" s="91" t="e">
        <f>D126*#REF!</f>
        <v>#REF!</v>
      </c>
      <c r="F126" s="91" t="e">
        <f>D126-E126</f>
        <v>#REF!</v>
      </c>
      <c r="G126" s="91" t="e">
        <f>E126*#REF!/1000</f>
        <v>#REF!</v>
      </c>
      <c r="H126" s="217" t="e">
        <f>F126*#REF!</f>
        <v>#REF!</v>
      </c>
    </row>
    <row r="129" spans="5:14">
      <c r="E129" s="3">
        <v>16678</v>
      </c>
      <c r="F129" s="221">
        <v>0.5</v>
      </c>
      <c r="H129" s="3">
        <f>(E129*H123+E129*I123)*365*F129/1000</f>
        <v>9892.1387500000001</v>
      </c>
    </row>
    <row r="130" spans="5:14">
      <c r="H130" s="223">
        <f t="shared" ref="H130:H135" si="31">$H$129*N130</f>
        <v>4222.0078520909656</v>
      </c>
      <c r="K130" s="222">
        <f t="shared" ref="K130:K135" si="32">H130/M130</f>
        <v>2.7331827677995527E-2</v>
      </c>
      <c r="L130" s="3" t="s">
        <v>85</v>
      </c>
      <c r="M130" s="3">
        <v>154472.21100000001</v>
      </c>
      <c r="N130" s="222">
        <f t="shared" ref="N130:N135" si="33">M130/SUM($M$130:$M$135)</f>
        <v>0.42680435028177965</v>
      </c>
    </row>
    <row r="131" spans="5:14">
      <c r="H131" s="223">
        <f t="shared" si="31"/>
        <v>4849.4644287719148</v>
      </c>
      <c r="K131" s="222">
        <f t="shared" si="32"/>
        <v>2.7331827677995527E-2</v>
      </c>
      <c r="L131" s="3" t="s">
        <v>84</v>
      </c>
      <c r="M131" s="3">
        <v>177429.204</v>
      </c>
      <c r="N131" s="222">
        <f t="shared" si="33"/>
        <v>0.49023416991314595</v>
      </c>
    </row>
    <row r="132" spans="5:14">
      <c r="H132" s="223">
        <f t="shared" si="31"/>
        <v>813.02364283169231</v>
      </c>
      <c r="K132" s="222">
        <f t="shared" si="32"/>
        <v>2.7331827677995531E-2</v>
      </c>
      <c r="L132" s="3" t="s">
        <v>83</v>
      </c>
      <c r="M132" s="3">
        <v>29746.405999999999</v>
      </c>
      <c r="N132" s="222">
        <f t="shared" si="33"/>
        <v>8.2188863639998208E-2</v>
      </c>
    </row>
    <row r="133" spans="5:14">
      <c r="H133" s="223">
        <f t="shared" si="31"/>
        <v>7.5548724839577792</v>
      </c>
      <c r="K133" s="222">
        <f t="shared" si="32"/>
        <v>2.7331827677995531E-2</v>
      </c>
      <c r="L133" s="3" t="s">
        <v>80</v>
      </c>
      <c r="M133" s="3">
        <v>276.41300000000001</v>
      </c>
      <c r="N133" s="222">
        <f t="shared" si="33"/>
        <v>7.6372488042161552E-4</v>
      </c>
    </row>
    <row r="134" spans="5:14">
      <c r="H134" s="223">
        <f t="shared" si="31"/>
        <v>6.8247573711954834E-2</v>
      </c>
      <c r="K134" s="222">
        <f t="shared" si="32"/>
        <v>2.7331827677995531E-2</v>
      </c>
      <c r="L134" s="3" t="s">
        <v>161</v>
      </c>
      <c r="M134" s="3">
        <v>2.4969999999999999</v>
      </c>
      <c r="N134" s="222">
        <f t="shared" si="33"/>
        <v>6.8991727104469533E-6</v>
      </c>
    </row>
    <row r="135" spans="5:14">
      <c r="H135" s="223">
        <f t="shared" si="31"/>
        <v>1.9706247755834776E-2</v>
      </c>
      <c r="K135" s="222">
        <f t="shared" si="32"/>
        <v>2.7331827677995531E-2</v>
      </c>
      <c r="L135" s="3" t="s">
        <v>160</v>
      </c>
      <c r="M135" s="3">
        <v>0.72099999999999997</v>
      </c>
      <c r="N135" s="222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C82:F82"/>
    <mergeCell ref="K82:N82"/>
    <mergeCell ref="C90:F90"/>
    <mergeCell ref="K90:N90"/>
    <mergeCell ref="B124:H12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O4:R4"/>
    <mergeCell ref="E4:E5"/>
    <mergeCell ref="F4:G4"/>
    <mergeCell ref="H4:I4"/>
    <mergeCell ref="K4:K5"/>
    <mergeCell ref="L4:N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F11"/>
  <sheetViews>
    <sheetView tabSelected="1" workbookViewId="0">
      <selection activeCell="B29" sqref="B29"/>
    </sheetView>
  </sheetViews>
  <sheetFormatPr defaultRowHeight="15"/>
  <cols>
    <col min="1" max="1" width="9.140625" style="249"/>
    <col min="2" max="2" width="47.28515625" style="249" customWidth="1"/>
    <col min="3" max="4" width="12.140625" style="249" bestFit="1" customWidth="1"/>
    <col min="5" max="5" width="8.7109375" style="249" bestFit="1" customWidth="1"/>
    <col min="6" max="6" width="12.140625" style="249" bestFit="1" customWidth="1"/>
    <col min="7" max="16384" width="9.140625" style="249"/>
  </cols>
  <sheetData>
    <row r="2" spans="2:6">
      <c r="B2" s="533">
        <v>2015</v>
      </c>
    </row>
    <row r="4" spans="2:6" ht="15.75" thickBot="1">
      <c r="B4" s="514"/>
      <c r="C4" s="532" t="s">
        <v>364</v>
      </c>
      <c r="D4" s="533" t="s">
        <v>365</v>
      </c>
      <c r="E4" s="533" t="s">
        <v>366</v>
      </c>
      <c r="F4" s="533" t="s">
        <v>237</v>
      </c>
    </row>
    <row r="5" spans="2:6">
      <c r="B5" s="534" t="s">
        <v>58</v>
      </c>
      <c r="C5" s="539">
        <v>631190</v>
      </c>
      <c r="D5" s="539">
        <v>2400003</v>
      </c>
      <c r="E5" s="539" t="s">
        <v>343</v>
      </c>
      <c r="F5" s="539">
        <v>3031193</v>
      </c>
    </row>
    <row r="6" spans="2:6">
      <c r="B6" s="535" t="s">
        <v>1</v>
      </c>
      <c r="C6" s="540">
        <v>1156767</v>
      </c>
      <c r="D6" s="540">
        <v>64332</v>
      </c>
      <c r="E6" s="540" t="s">
        <v>342</v>
      </c>
      <c r="F6" s="540">
        <v>1221099</v>
      </c>
    </row>
    <row r="7" spans="2:6">
      <c r="B7" s="535" t="s">
        <v>4</v>
      </c>
      <c r="C7" s="540">
        <v>13481</v>
      </c>
      <c r="D7" s="540" t="s">
        <v>108</v>
      </c>
      <c r="E7" s="540">
        <v>3456</v>
      </c>
      <c r="F7" s="540">
        <v>16937</v>
      </c>
    </row>
    <row r="8" spans="2:6">
      <c r="B8" s="535" t="s">
        <v>367</v>
      </c>
      <c r="C8" s="540">
        <v>1</v>
      </c>
      <c r="D8" s="540" t="s">
        <v>108</v>
      </c>
      <c r="E8" s="540" t="s">
        <v>108</v>
      </c>
      <c r="F8" s="540">
        <v>1</v>
      </c>
    </row>
    <row r="9" spans="2:6">
      <c r="B9" s="535" t="s">
        <v>368</v>
      </c>
      <c r="C9" s="540">
        <v>-8793</v>
      </c>
      <c r="D9" s="540" t="s">
        <v>108</v>
      </c>
      <c r="E9" s="540" t="s">
        <v>108</v>
      </c>
      <c r="F9" s="540">
        <v>-8793</v>
      </c>
    </row>
    <row r="10" spans="2:6" ht="15.75" thickBot="1">
      <c r="B10" s="536" t="s">
        <v>237</v>
      </c>
      <c r="C10" s="541">
        <v>1792646</v>
      </c>
      <c r="D10" s="541">
        <v>2464335</v>
      </c>
      <c r="E10" s="541">
        <v>3456</v>
      </c>
      <c r="F10" s="542">
        <v>4260437</v>
      </c>
    </row>
    <row r="11" spans="2:6" ht="15.75" thickBot="1">
      <c r="B11" s="537" t="s">
        <v>369</v>
      </c>
      <c r="C11" s="498"/>
      <c r="D11" s="498"/>
      <c r="E11" s="498"/>
      <c r="F11" s="538">
        <v>4269229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RowHeight="12.75"/>
  <cols>
    <col min="1" max="1" width="9.140625" style="256"/>
    <col min="2" max="2" width="37.42578125" style="256" customWidth="1"/>
    <col min="3" max="3" width="17.42578125" style="256" customWidth="1"/>
    <col min="4" max="4" width="16.28515625" style="256" customWidth="1"/>
    <col min="5" max="5" width="13.42578125" style="256" customWidth="1"/>
    <col min="6" max="8" width="11.5703125" style="256" bestFit="1" customWidth="1"/>
    <col min="9" max="9" width="12.7109375" style="256" bestFit="1" customWidth="1"/>
    <col min="10" max="10" width="11.5703125" style="256" bestFit="1" customWidth="1"/>
    <col min="11" max="11" width="10" style="256" bestFit="1" customWidth="1"/>
    <col min="12" max="12" width="11.5703125" style="256" bestFit="1" customWidth="1"/>
    <col min="13" max="13" width="12" style="256" customWidth="1"/>
    <col min="14" max="14" width="11" style="256" customWidth="1"/>
    <col min="15" max="15" width="13.42578125" style="256" customWidth="1"/>
    <col min="16" max="16" width="12.5703125" style="256" customWidth="1"/>
    <col min="17" max="17" width="9.140625" style="256"/>
    <col min="18" max="18" width="12" style="256" customWidth="1"/>
    <col min="19" max="19" width="12.7109375" style="256" bestFit="1" customWidth="1"/>
    <col min="20" max="20" width="9.140625" style="256"/>
    <col min="21" max="21" width="20" style="256" customWidth="1"/>
    <col min="22" max="25" width="9.140625" style="256"/>
    <col min="26" max="26" width="3.85546875" style="256" customWidth="1"/>
    <col min="27" max="16384" width="9.140625" style="256"/>
  </cols>
  <sheetData>
    <row r="1" spans="1:33" s="250" customFormat="1"/>
    <row r="2" spans="1:33" s="250" customFormat="1">
      <c r="B2" s="250" t="s">
        <v>332</v>
      </c>
      <c r="E2" s="250" t="s">
        <v>96</v>
      </c>
    </row>
    <row r="3" spans="1:33" ht="15" customHeight="1">
      <c r="A3" s="251"/>
      <c r="B3" s="252" t="s">
        <v>333</v>
      </c>
      <c r="C3" s="253"/>
      <c r="D3" s="254"/>
      <c r="E3" s="383">
        <v>2020</v>
      </c>
      <c r="F3" s="255"/>
      <c r="G3" s="255"/>
      <c r="H3" s="255"/>
      <c r="I3" s="255"/>
      <c r="J3" s="255"/>
      <c r="K3" s="255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</row>
    <row r="4" spans="1:33" ht="15.75" customHeight="1">
      <c r="A4" s="251"/>
      <c r="B4" s="257" t="s">
        <v>334</v>
      </c>
      <c r="C4" s="258"/>
      <c r="D4" s="258"/>
      <c r="E4" s="386">
        <v>622800</v>
      </c>
      <c r="F4" s="259"/>
      <c r="H4" s="259"/>
      <c r="I4" s="260"/>
      <c r="J4" s="261"/>
      <c r="K4" s="261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</row>
    <row r="5" spans="1:33">
      <c r="A5" s="250"/>
      <c r="B5" s="252" t="s">
        <v>116</v>
      </c>
      <c r="C5" s="253"/>
      <c r="D5" s="255"/>
      <c r="E5" s="385" t="s">
        <v>229</v>
      </c>
      <c r="F5" s="255"/>
      <c r="G5" s="255"/>
      <c r="H5" s="255"/>
      <c r="I5" s="255"/>
      <c r="J5" s="262"/>
      <c r="K5" s="262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</row>
    <row r="6" spans="1:33">
      <c r="A6" s="251"/>
      <c r="B6" s="254" t="s">
        <v>230</v>
      </c>
      <c r="C6" s="263"/>
      <c r="D6" s="264"/>
      <c r="E6" s="384" t="s">
        <v>231</v>
      </c>
      <c r="F6" s="254"/>
      <c r="G6" s="255"/>
      <c r="H6" s="255"/>
      <c r="I6" s="255"/>
      <c r="J6" s="262"/>
      <c r="K6" s="262"/>
      <c r="L6" s="250"/>
      <c r="M6" s="250"/>
      <c r="N6" s="250"/>
      <c r="O6" s="250"/>
      <c r="P6" s="250"/>
      <c r="Q6" s="250"/>
      <c r="R6" s="250"/>
      <c r="S6" s="250"/>
      <c r="T6" s="250"/>
      <c r="U6" s="391"/>
      <c r="V6" s="255" t="s">
        <v>335</v>
      </c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</row>
    <row r="7" spans="1:33" ht="16.5" customHeight="1">
      <c r="A7" s="250"/>
      <c r="B7" s="265"/>
      <c r="C7" s="255"/>
      <c r="D7" s="266"/>
      <c r="E7" s="266"/>
      <c r="F7" s="266"/>
      <c r="G7" s="267"/>
      <c r="H7" s="268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0"/>
      <c r="T7" s="250"/>
      <c r="U7" s="392"/>
      <c r="V7" s="255" t="s">
        <v>336</v>
      </c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</row>
    <row r="8" spans="1:33" ht="19.5" customHeight="1">
      <c r="A8" s="250"/>
      <c r="B8" s="269" t="s">
        <v>321</v>
      </c>
      <c r="C8" s="270"/>
      <c r="D8" s="271"/>
      <c r="E8" s="270"/>
      <c r="F8" s="271"/>
      <c r="G8" s="270"/>
      <c r="H8" s="271"/>
      <c r="I8" s="270"/>
      <c r="J8" s="271"/>
      <c r="K8" s="272"/>
      <c r="L8" s="272"/>
      <c r="M8" s="272"/>
      <c r="N8" s="250"/>
      <c r="O8" s="250"/>
      <c r="P8" s="255"/>
      <c r="Q8" s="255"/>
      <c r="R8" s="255"/>
      <c r="S8" s="250"/>
      <c r="T8" s="250"/>
      <c r="U8" s="389" t="s">
        <v>301</v>
      </c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</row>
    <row r="9" spans="1:33" ht="19.5" customHeight="1">
      <c r="A9" s="250"/>
      <c r="B9" s="269"/>
      <c r="C9" s="270"/>
      <c r="D9" s="271"/>
      <c r="E9" s="270"/>
      <c r="F9" s="271"/>
      <c r="G9" s="270"/>
      <c r="H9" s="271"/>
      <c r="I9" s="270"/>
      <c r="J9" s="271"/>
      <c r="K9" s="272"/>
      <c r="L9" s="272"/>
      <c r="M9" s="272"/>
      <c r="N9" s="250"/>
      <c r="O9" s="250"/>
      <c r="P9" s="255"/>
      <c r="Q9" s="255"/>
      <c r="R9" s="255"/>
      <c r="S9" s="250"/>
      <c r="T9" s="250"/>
      <c r="U9" s="389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3" ht="15.75" thickBot="1">
      <c r="A10" s="250"/>
      <c r="B10" s="431" t="s">
        <v>302</v>
      </c>
      <c r="C10" s="276"/>
      <c r="D10" s="276"/>
      <c r="E10" s="276"/>
      <c r="F10" s="276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50"/>
      <c r="T10" s="250"/>
      <c r="U10" s="390" t="s">
        <v>303</v>
      </c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</row>
    <row r="11" spans="1:33" ht="15" customHeight="1">
      <c r="A11" s="250"/>
      <c r="B11" s="544" t="s">
        <v>2</v>
      </c>
      <c r="C11" s="545"/>
      <c r="D11" s="548" t="s">
        <v>233</v>
      </c>
      <c r="E11" s="549"/>
      <c r="F11" s="549"/>
      <c r="G11" s="549"/>
      <c r="H11" s="549"/>
      <c r="I11" s="549"/>
      <c r="J11" s="549"/>
      <c r="K11" s="549"/>
      <c r="L11" s="549"/>
      <c r="M11" s="549"/>
      <c r="N11" s="549"/>
      <c r="O11" s="549"/>
      <c r="P11" s="549"/>
      <c r="Q11" s="549"/>
      <c r="R11" s="549"/>
      <c r="S11" s="550"/>
      <c r="T11" s="250"/>
      <c r="U11" s="390" t="s">
        <v>326</v>
      </c>
      <c r="V11" s="390"/>
      <c r="W11" s="390"/>
      <c r="X11" s="390"/>
      <c r="Y11" s="250"/>
      <c r="Z11" s="250"/>
      <c r="AA11" s="250"/>
      <c r="AB11" s="250"/>
      <c r="AC11" s="250"/>
      <c r="AD11" s="250"/>
      <c r="AE11" s="250"/>
      <c r="AF11" s="250"/>
    </row>
    <row r="12" spans="1:33" ht="14.25" customHeight="1">
      <c r="A12" s="250"/>
      <c r="B12" s="546"/>
      <c r="C12" s="547"/>
      <c r="D12" s="551" t="s">
        <v>77</v>
      </c>
      <c r="E12" s="551" t="s">
        <v>234</v>
      </c>
      <c r="F12" s="551" t="s">
        <v>235</v>
      </c>
      <c r="G12" s="551"/>
      <c r="H12" s="551"/>
      <c r="I12" s="551"/>
      <c r="J12" s="551"/>
      <c r="K12" s="551"/>
      <c r="L12" s="551"/>
      <c r="M12" s="551"/>
      <c r="N12" s="551" t="s">
        <v>236</v>
      </c>
      <c r="O12" s="551"/>
      <c r="P12" s="551"/>
      <c r="Q12" s="551"/>
      <c r="R12" s="551"/>
      <c r="S12" s="574" t="s">
        <v>305</v>
      </c>
      <c r="T12" s="250"/>
      <c r="U12" s="390" t="s">
        <v>327</v>
      </c>
      <c r="V12" s="390"/>
      <c r="W12" s="390"/>
      <c r="X12" s="390"/>
      <c r="Y12" s="250"/>
      <c r="Z12" s="250"/>
      <c r="AA12" s="250"/>
      <c r="AB12" s="250"/>
      <c r="AC12" s="250"/>
      <c r="AD12" s="250"/>
      <c r="AE12" s="250"/>
      <c r="AF12" s="250"/>
    </row>
    <row r="13" spans="1:33" ht="26.25" thickBot="1">
      <c r="A13" s="250"/>
      <c r="B13" s="546"/>
      <c r="C13" s="547"/>
      <c r="D13" s="552"/>
      <c r="E13" s="552"/>
      <c r="F13" s="278" t="s">
        <v>80</v>
      </c>
      <c r="G13" s="278" t="s">
        <v>238</v>
      </c>
      <c r="H13" s="278" t="s">
        <v>82</v>
      </c>
      <c r="I13" s="278" t="s">
        <v>84</v>
      </c>
      <c r="J13" s="278" t="s">
        <v>85</v>
      </c>
      <c r="K13" s="278" t="s">
        <v>239</v>
      </c>
      <c r="L13" s="278" t="s">
        <v>86</v>
      </c>
      <c r="M13" s="278" t="s">
        <v>240</v>
      </c>
      <c r="N13" s="278" t="s">
        <v>241</v>
      </c>
      <c r="O13" s="278" t="s">
        <v>242</v>
      </c>
      <c r="P13" s="278" t="s">
        <v>243</v>
      </c>
      <c r="Q13" s="278" t="s">
        <v>244</v>
      </c>
      <c r="R13" s="278" t="s">
        <v>245</v>
      </c>
      <c r="S13" s="575"/>
      <c r="T13" s="250"/>
      <c r="U13" s="390" t="s">
        <v>304</v>
      </c>
      <c r="V13" s="390"/>
      <c r="W13" s="390"/>
      <c r="X13" s="390"/>
      <c r="Y13" s="250"/>
      <c r="Z13" s="250"/>
      <c r="AA13" s="250"/>
      <c r="AB13" s="250"/>
      <c r="AC13" s="250"/>
      <c r="AD13" s="250"/>
      <c r="AE13" s="250"/>
      <c r="AF13" s="250"/>
    </row>
    <row r="14" spans="1:33" ht="15" customHeight="1" thickTop="1" thickBot="1">
      <c r="A14" s="250"/>
      <c r="B14" s="279" t="s">
        <v>246</v>
      </c>
      <c r="C14" s="280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50"/>
      <c r="U14" s="390" t="s">
        <v>322</v>
      </c>
      <c r="V14" s="390"/>
      <c r="W14" s="390"/>
      <c r="X14" s="390"/>
      <c r="Y14" s="409">
        <f>SUM_SEAP!E2</f>
        <v>2015</v>
      </c>
      <c r="Z14" s="250"/>
      <c r="AA14" s="250"/>
      <c r="AB14" s="250"/>
      <c r="AC14" s="250"/>
      <c r="AD14" s="250"/>
      <c r="AE14" s="250"/>
      <c r="AF14" s="250"/>
    </row>
    <row r="15" spans="1:33" ht="14.25" customHeight="1">
      <c r="A15" s="250"/>
      <c r="B15" s="283" t="s">
        <v>247</v>
      </c>
      <c r="C15" s="284"/>
      <c r="D15" s="411">
        <f>D$30</f>
        <v>0.12222222222222223</v>
      </c>
      <c r="E15" s="411">
        <f t="shared" ref="E15:R15" si="0">E$30</f>
        <v>0.1148648648648648</v>
      </c>
      <c r="F15" s="411">
        <f t="shared" si="0"/>
        <v>8.4210526315789402E-2</v>
      </c>
      <c r="G15" s="411">
        <f t="shared" si="0"/>
        <v>4.2410714285714302E-2</v>
      </c>
      <c r="H15" s="411">
        <f t="shared" si="0"/>
        <v>4.2410714285714302E-2</v>
      </c>
      <c r="I15" s="411">
        <f t="shared" si="0"/>
        <v>4.2410714285714302E-2</v>
      </c>
      <c r="J15" s="411">
        <f t="shared" si="0"/>
        <v>4.2410714285714302E-2</v>
      </c>
      <c r="K15" s="411">
        <f t="shared" si="0"/>
        <v>-2.7522935779816515E-2</v>
      </c>
      <c r="L15" s="411">
        <f t="shared" si="0"/>
        <v>-2.7522935779816515E-2</v>
      </c>
      <c r="M15" s="411">
        <f t="shared" si="0"/>
        <v>-3.85E-2</v>
      </c>
      <c r="N15" s="411">
        <f t="shared" si="0"/>
        <v>0.14130434782608703</v>
      </c>
      <c r="O15" s="411">
        <f t="shared" si="0"/>
        <v>0.14130434782608703</v>
      </c>
      <c r="P15" s="411">
        <f t="shared" si="0"/>
        <v>0.14130434782608703</v>
      </c>
      <c r="Q15" s="411">
        <f t="shared" si="0"/>
        <v>0.14130434782608703</v>
      </c>
      <c r="R15" s="411">
        <f t="shared" si="0"/>
        <v>0.14130434782608703</v>
      </c>
      <c r="S15" s="410">
        <v>0</v>
      </c>
      <c r="T15" s="250"/>
      <c r="U15" s="390"/>
      <c r="V15" s="390"/>
      <c r="W15" s="390"/>
      <c r="X15" s="390"/>
      <c r="Y15" s="250"/>
      <c r="Z15" s="250"/>
      <c r="AA15" s="250"/>
      <c r="AB15" s="250"/>
      <c r="AC15" s="250"/>
      <c r="AD15" s="250"/>
      <c r="AE15" s="250"/>
      <c r="AF15" s="250"/>
    </row>
    <row r="16" spans="1:33" ht="14.25" customHeight="1" thickBot="1">
      <c r="A16" s="250"/>
      <c r="B16" s="287" t="s">
        <v>248</v>
      </c>
      <c r="C16" s="288"/>
      <c r="D16" s="411">
        <f t="shared" ref="D16:R18" si="1">D$30</f>
        <v>0.12222222222222223</v>
      </c>
      <c r="E16" s="411">
        <f t="shared" si="1"/>
        <v>0.1148648648648648</v>
      </c>
      <c r="F16" s="411">
        <f t="shared" si="1"/>
        <v>8.4210526315789402E-2</v>
      </c>
      <c r="G16" s="411">
        <f t="shared" si="1"/>
        <v>4.2410714285714302E-2</v>
      </c>
      <c r="H16" s="411">
        <f t="shared" si="1"/>
        <v>4.2410714285714302E-2</v>
      </c>
      <c r="I16" s="411">
        <f t="shared" si="1"/>
        <v>4.2410714285714302E-2</v>
      </c>
      <c r="J16" s="411">
        <f t="shared" si="1"/>
        <v>4.2410714285714302E-2</v>
      </c>
      <c r="K16" s="411">
        <f t="shared" si="1"/>
        <v>-2.7522935779816515E-2</v>
      </c>
      <c r="L16" s="411">
        <f t="shared" si="1"/>
        <v>-2.7522935779816515E-2</v>
      </c>
      <c r="M16" s="411">
        <f t="shared" si="1"/>
        <v>-3.85E-2</v>
      </c>
      <c r="N16" s="411">
        <f t="shared" si="1"/>
        <v>0.14130434782608703</v>
      </c>
      <c r="O16" s="411">
        <f t="shared" si="1"/>
        <v>0.14130434782608703</v>
      </c>
      <c r="P16" s="411">
        <f t="shared" si="1"/>
        <v>0.14130434782608703</v>
      </c>
      <c r="Q16" s="411">
        <f t="shared" si="1"/>
        <v>0.14130434782608703</v>
      </c>
      <c r="R16" s="411">
        <f t="shared" si="1"/>
        <v>0.14130434782608703</v>
      </c>
      <c r="S16" s="406">
        <f>AA20</f>
        <v>0.16666666666666674</v>
      </c>
      <c r="T16" s="250"/>
      <c r="U16" s="394" t="s">
        <v>306</v>
      </c>
      <c r="V16" s="395"/>
      <c r="W16" s="395"/>
      <c r="X16" s="395"/>
      <c r="Y16" s="390"/>
      <c r="Z16" s="250"/>
      <c r="AA16" s="250"/>
      <c r="AB16" s="250"/>
      <c r="AC16" s="250"/>
      <c r="AD16" s="250"/>
      <c r="AE16" s="250"/>
      <c r="AF16" s="250"/>
    </row>
    <row r="17" spans="1:33" ht="15" customHeight="1">
      <c r="A17" s="250"/>
      <c r="B17" s="287" t="s">
        <v>0</v>
      </c>
      <c r="C17" s="288"/>
      <c r="D17" s="411">
        <f t="shared" si="1"/>
        <v>0.12222222222222223</v>
      </c>
      <c r="E17" s="411">
        <f t="shared" si="1"/>
        <v>0.1148648648648648</v>
      </c>
      <c r="F17" s="411">
        <f t="shared" si="1"/>
        <v>8.4210526315789402E-2</v>
      </c>
      <c r="G17" s="411">
        <f t="shared" si="1"/>
        <v>4.2410714285714302E-2</v>
      </c>
      <c r="H17" s="411">
        <f t="shared" si="1"/>
        <v>4.2410714285714302E-2</v>
      </c>
      <c r="I17" s="411">
        <f t="shared" si="1"/>
        <v>4.2410714285714302E-2</v>
      </c>
      <c r="J17" s="411">
        <f t="shared" si="1"/>
        <v>4.2410714285714302E-2</v>
      </c>
      <c r="K17" s="411">
        <f t="shared" si="1"/>
        <v>-2.7522935779816515E-2</v>
      </c>
      <c r="L17" s="411">
        <f t="shared" si="1"/>
        <v>-2.7522935779816515E-2</v>
      </c>
      <c r="M17" s="411">
        <f t="shared" si="1"/>
        <v>-3.85E-2</v>
      </c>
      <c r="N17" s="411">
        <f t="shared" si="1"/>
        <v>0.14130434782608703</v>
      </c>
      <c r="O17" s="411">
        <f t="shared" si="1"/>
        <v>0.14130434782608703</v>
      </c>
      <c r="P17" s="411">
        <f t="shared" si="1"/>
        <v>0.14130434782608703</v>
      </c>
      <c r="Q17" s="411">
        <f t="shared" si="1"/>
        <v>0.14130434782608703</v>
      </c>
      <c r="R17" s="411">
        <f t="shared" si="1"/>
        <v>0.14130434782608703</v>
      </c>
      <c r="S17" s="406">
        <f>AA21</f>
        <v>1.0526315789473606E-2</v>
      </c>
      <c r="T17" s="250"/>
      <c r="U17" s="394" t="s">
        <v>307</v>
      </c>
      <c r="V17" s="394">
        <v>2010</v>
      </c>
      <c r="W17" s="394">
        <v>2020</v>
      </c>
      <c r="X17" s="394" t="s">
        <v>114</v>
      </c>
      <c r="Y17" s="389" t="s">
        <v>323</v>
      </c>
      <c r="Z17" s="250"/>
      <c r="AA17" s="403" t="s">
        <v>325</v>
      </c>
      <c r="AB17" s="250"/>
      <c r="AC17" s="250"/>
      <c r="AD17" s="250"/>
      <c r="AE17" s="250"/>
      <c r="AF17" s="250"/>
    </row>
    <row r="18" spans="1:33" ht="15" customHeight="1">
      <c r="A18" s="250"/>
      <c r="B18" s="287" t="s">
        <v>42</v>
      </c>
      <c r="C18" s="288"/>
      <c r="D18" s="411">
        <f t="shared" si="1"/>
        <v>0.12222222222222223</v>
      </c>
      <c r="E18" s="411">
        <f t="shared" si="1"/>
        <v>0.1148648648648648</v>
      </c>
      <c r="F18" s="411">
        <f t="shared" si="1"/>
        <v>8.4210526315789402E-2</v>
      </c>
      <c r="G18" s="411">
        <f t="shared" si="1"/>
        <v>4.2410714285714302E-2</v>
      </c>
      <c r="H18" s="411">
        <f t="shared" si="1"/>
        <v>4.2410714285714302E-2</v>
      </c>
      <c r="I18" s="411">
        <f t="shared" si="1"/>
        <v>4.2410714285714302E-2</v>
      </c>
      <c r="J18" s="411">
        <f t="shared" si="1"/>
        <v>4.2410714285714302E-2</v>
      </c>
      <c r="K18" s="411">
        <f t="shared" si="1"/>
        <v>-2.7522935779816515E-2</v>
      </c>
      <c r="L18" s="411">
        <f t="shared" si="1"/>
        <v>-2.7522935779816515E-2</v>
      </c>
      <c r="M18" s="411">
        <f t="shared" si="1"/>
        <v>-3.85E-2</v>
      </c>
      <c r="N18" s="411">
        <f t="shared" si="1"/>
        <v>0.14130434782608703</v>
      </c>
      <c r="O18" s="411">
        <f t="shared" si="1"/>
        <v>0.14130434782608703</v>
      </c>
      <c r="P18" s="411">
        <f t="shared" si="1"/>
        <v>0.14130434782608703</v>
      </c>
      <c r="Q18" s="411">
        <f t="shared" si="1"/>
        <v>0.14130434782608703</v>
      </c>
      <c r="R18" s="411">
        <f t="shared" si="1"/>
        <v>0.14130434782608703</v>
      </c>
      <c r="S18" s="410">
        <v>0</v>
      </c>
      <c r="T18" s="250"/>
      <c r="U18" s="395" t="s">
        <v>308</v>
      </c>
      <c r="V18" s="395">
        <v>18.2</v>
      </c>
      <c r="W18" s="395">
        <v>20.9</v>
      </c>
      <c r="X18" s="396">
        <f>(W18/V18)-1</f>
        <v>0.14835164835164827</v>
      </c>
      <c r="Y18" s="400">
        <f>X18/10</f>
        <v>1.4835164835164828E-2</v>
      </c>
      <c r="Z18" s="250"/>
      <c r="AA18" s="401">
        <f>(2020-$Y$14)*Y18</f>
        <v>7.4175824175824134E-2</v>
      </c>
      <c r="AB18" s="562" t="s">
        <v>324</v>
      </c>
      <c r="AC18" s="250"/>
      <c r="AD18" s="250"/>
      <c r="AE18" s="250"/>
      <c r="AF18" s="250"/>
    </row>
    <row r="19" spans="1:33" ht="15" customHeight="1">
      <c r="A19" s="250"/>
      <c r="B19" s="554" t="s">
        <v>11</v>
      </c>
      <c r="C19" s="368" t="s">
        <v>249</v>
      </c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407"/>
      <c r="T19" s="250"/>
      <c r="U19" s="397" t="s">
        <v>309</v>
      </c>
      <c r="V19" s="397">
        <v>15.5</v>
      </c>
      <c r="W19" s="397">
        <v>18.7</v>
      </c>
      <c r="X19" s="396">
        <f>(W19/V19)-1</f>
        <v>0.20645161290322567</v>
      </c>
      <c r="Y19" s="400">
        <f t="shared" ref="Y19:Y29" si="2">X19/10</f>
        <v>2.0645161290322567E-2</v>
      </c>
      <c r="Z19" s="250"/>
      <c r="AA19" s="401">
        <f>(2020-$Y$14)*Y19</f>
        <v>0.10322580645161283</v>
      </c>
      <c r="AB19" s="562"/>
      <c r="AC19" s="250"/>
      <c r="AD19" s="250"/>
      <c r="AE19" s="250"/>
      <c r="AF19" s="250"/>
    </row>
    <row r="20" spans="1:33" ht="18.75" customHeight="1">
      <c r="A20" s="250"/>
      <c r="B20" s="555"/>
      <c r="C20" s="369" t="s">
        <v>250</v>
      </c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407"/>
      <c r="T20" s="250"/>
      <c r="U20" s="397" t="s">
        <v>310</v>
      </c>
      <c r="V20" s="397">
        <v>6.6</v>
      </c>
      <c r="W20" s="397">
        <v>8.8000000000000007</v>
      </c>
      <c r="X20" s="396">
        <f t="shared" ref="X20:X29" si="3">(W20/V20)-1</f>
        <v>0.33333333333333348</v>
      </c>
      <c r="Y20" s="400">
        <f t="shared" si="2"/>
        <v>3.3333333333333347E-2</v>
      </c>
      <c r="Z20" s="250"/>
      <c r="AA20" s="401">
        <f>(2020-$Y$14)*Y20</f>
        <v>0.16666666666666674</v>
      </c>
      <c r="AB20" s="562"/>
      <c r="AC20" s="250"/>
      <c r="AD20" s="250"/>
      <c r="AE20" s="250"/>
      <c r="AF20" s="250"/>
    </row>
    <row r="21" spans="1:33" ht="18.75" customHeight="1">
      <c r="A21" s="250"/>
      <c r="B21" s="556"/>
      <c r="C21" s="290" t="s">
        <v>237</v>
      </c>
      <c r="D21" s="411">
        <f t="shared" ref="D21:R21" si="4">D$30</f>
        <v>0.12222222222222223</v>
      </c>
      <c r="E21" s="411">
        <f t="shared" si="4"/>
        <v>0.1148648648648648</v>
      </c>
      <c r="F21" s="411">
        <f t="shared" si="4"/>
        <v>8.4210526315789402E-2</v>
      </c>
      <c r="G21" s="411">
        <f t="shared" si="4"/>
        <v>4.2410714285714302E-2</v>
      </c>
      <c r="H21" s="411">
        <f t="shared" si="4"/>
        <v>4.2410714285714302E-2</v>
      </c>
      <c r="I21" s="411">
        <f t="shared" si="4"/>
        <v>4.2410714285714302E-2</v>
      </c>
      <c r="J21" s="411">
        <f t="shared" si="4"/>
        <v>4.2410714285714302E-2</v>
      </c>
      <c r="K21" s="411">
        <f t="shared" si="4"/>
        <v>-2.7522935779816515E-2</v>
      </c>
      <c r="L21" s="411">
        <f t="shared" si="4"/>
        <v>-2.7522935779816515E-2</v>
      </c>
      <c r="M21" s="411">
        <f t="shared" si="4"/>
        <v>-3.85E-2</v>
      </c>
      <c r="N21" s="411">
        <f t="shared" si="4"/>
        <v>0.14130434782608703</v>
      </c>
      <c r="O21" s="411">
        <f t="shared" si="4"/>
        <v>0.14130434782608703</v>
      </c>
      <c r="P21" s="411">
        <f t="shared" si="4"/>
        <v>0.14130434782608703</v>
      </c>
      <c r="Q21" s="411">
        <f t="shared" si="4"/>
        <v>0.14130434782608703</v>
      </c>
      <c r="R21" s="411">
        <f t="shared" si="4"/>
        <v>0.14130434782608703</v>
      </c>
      <c r="S21" s="408">
        <f>AA18</f>
        <v>7.4175824175824134E-2</v>
      </c>
      <c r="T21" s="250"/>
      <c r="U21" s="397" t="s">
        <v>311</v>
      </c>
      <c r="V21" s="397">
        <v>19</v>
      </c>
      <c r="W21" s="397">
        <v>19.399999999999999</v>
      </c>
      <c r="X21" s="396">
        <f t="shared" si="3"/>
        <v>2.1052631578947212E-2</v>
      </c>
      <c r="Y21" s="400">
        <f t="shared" si="2"/>
        <v>2.1052631578947212E-3</v>
      </c>
      <c r="Z21" s="250"/>
      <c r="AA21" s="401">
        <f>(2020-$Y$14)*Y21</f>
        <v>1.0526315789473606E-2</v>
      </c>
      <c r="AB21" s="562"/>
      <c r="AC21" s="250"/>
      <c r="AD21" s="250"/>
      <c r="AE21" s="250"/>
      <c r="AF21" s="250"/>
    </row>
    <row r="22" spans="1:33" ht="15" customHeight="1" thickBot="1">
      <c r="A22" s="250"/>
      <c r="B22" s="293" t="s">
        <v>251</v>
      </c>
      <c r="C22" s="294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50"/>
      <c r="U22" s="398" t="s">
        <v>312</v>
      </c>
      <c r="V22" s="398">
        <v>2010</v>
      </c>
      <c r="W22" s="398">
        <v>2020</v>
      </c>
      <c r="X22" s="399" t="s">
        <v>98</v>
      </c>
      <c r="Y22" s="389" t="s">
        <v>323</v>
      </c>
      <c r="Z22" s="250"/>
      <c r="AA22" s="401"/>
      <c r="AB22" s="562"/>
      <c r="AC22" s="250"/>
      <c r="AD22" s="250"/>
      <c r="AE22" s="250"/>
      <c r="AF22" s="250"/>
    </row>
    <row r="23" spans="1:33" ht="15" customHeight="1">
      <c r="A23" s="250"/>
      <c r="B23" s="297" t="s">
        <v>252</v>
      </c>
      <c r="C23" s="298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50"/>
      <c r="U23" s="397" t="s">
        <v>313</v>
      </c>
      <c r="V23" s="397">
        <v>10.9</v>
      </c>
      <c r="W23" s="397">
        <v>10.3</v>
      </c>
      <c r="X23" s="396">
        <f t="shared" si="3"/>
        <v>-5.5045871559633031E-2</v>
      </c>
      <c r="Y23" s="400">
        <f t="shared" si="2"/>
        <v>-5.5045871559633031E-3</v>
      </c>
      <c r="Z23" s="250"/>
      <c r="AA23" s="401">
        <f t="shared" ref="AA23:AA29" si="5">(2020-$Y$14)*Y23</f>
        <v>-2.7522935779816515E-2</v>
      </c>
      <c r="AB23" s="562"/>
      <c r="AC23" s="250"/>
      <c r="AD23" s="250"/>
      <c r="AE23" s="250"/>
      <c r="AF23" s="250"/>
    </row>
    <row r="24" spans="1:33" ht="15" customHeight="1">
      <c r="A24" s="250"/>
      <c r="B24" s="287" t="s">
        <v>253</v>
      </c>
      <c r="C24" s="301"/>
      <c r="D24" s="411">
        <f t="shared" ref="D24:R26" si="6">D$30</f>
        <v>0.12222222222222223</v>
      </c>
      <c r="E24" s="411">
        <f t="shared" si="6"/>
        <v>0.1148648648648648</v>
      </c>
      <c r="F24" s="411">
        <f t="shared" si="6"/>
        <v>8.4210526315789402E-2</v>
      </c>
      <c r="G24" s="411">
        <f t="shared" si="6"/>
        <v>4.2410714285714302E-2</v>
      </c>
      <c r="H24" s="411">
        <f t="shared" si="6"/>
        <v>4.2410714285714302E-2</v>
      </c>
      <c r="I24" s="411">
        <f t="shared" si="6"/>
        <v>4.2410714285714302E-2</v>
      </c>
      <c r="J24" s="411">
        <f t="shared" si="6"/>
        <v>4.2410714285714302E-2</v>
      </c>
      <c r="K24" s="411">
        <f t="shared" si="6"/>
        <v>-2.7522935779816515E-2</v>
      </c>
      <c r="L24" s="411">
        <f t="shared" si="6"/>
        <v>-2.7522935779816515E-2</v>
      </c>
      <c r="M24" s="411">
        <f t="shared" si="6"/>
        <v>-3.85E-2</v>
      </c>
      <c r="N24" s="411">
        <f t="shared" si="6"/>
        <v>0.14130434782608703</v>
      </c>
      <c r="O24" s="411">
        <f t="shared" si="6"/>
        <v>0.14130434782608703</v>
      </c>
      <c r="P24" s="411">
        <f t="shared" si="6"/>
        <v>0.14130434782608703</v>
      </c>
      <c r="Q24" s="411">
        <f t="shared" si="6"/>
        <v>0.14130434782608703</v>
      </c>
      <c r="R24" s="411">
        <f t="shared" si="6"/>
        <v>0.14130434782608703</v>
      </c>
      <c r="S24" s="410">
        <v>0</v>
      </c>
      <c r="T24" s="250"/>
      <c r="U24" s="397" t="s">
        <v>314</v>
      </c>
      <c r="V24" s="397">
        <v>22.4</v>
      </c>
      <c r="W24" s="397">
        <v>24.3</v>
      </c>
      <c r="X24" s="396">
        <f t="shared" si="3"/>
        <v>8.4821428571428603E-2</v>
      </c>
      <c r="Y24" s="400">
        <f t="shared" si="2"/>
        <v>8.48214285714286E-3</v>
      </c>
      <c r="Z24" s="250"/>
      <c r="AA24" s="401">
        <f t="shared" si="5"/>
        <v>4.2410714285714302E-2</v>
      </c>
      <c r="AB24" s="562"/>
      <c r="AC24" s="250"/>
      <c r="AD24" s="250"/>
      <c r="AE24" s="250"/>
      <c r="AF24" s="250"/>
    </row>
    <row r="25" spans="1:33" ht="15" customHeight="1">
      <c r="A25" s="250"/>
      <c r="B25" s="287" t="s">
        <v>254</v>
      </c>
      <c r="C25" s="301"/>
      <c r="D25" s="411">
        <f t="shared" si="6"/>
        <v>0.12222222222222223</v>
      </c>
      <c r="E25" s="411">
        <f t="shared" si="6"/>
        <v>0.1148648648648648</v>
      </c>
      <c r="F25" s="411">
        <f t="shared" si="6"/>
        <v>8.4210526315789402E-2</v>
      </c>
      <c r="G25" s="411">
        <f t="shared" si="6"/>
        <v>4.2410714285714302E-2</v>
      </c>
      <c r="H25" s="411">
        <f t="shared" si="6"/>
        <v>4.2410714285714302E-2</v>
      </c>
      <c r="I25" s="411">
        <f t="shared" si="6"/>
        <v>4.2410714285714302E-2</v>
      </c>
      <c r="J25" s="411">
        <f t="shared" si="6"/>
        <v>4.2410714285714302E-2</v>
      </c>
      <c r="K25" s="411">
        <f t="shared" si="6"/>
        <v>-2.7522935779816515E-2</v>
      </c>
      <c r="L25" s="411">
        <f t="shared" si="6"/>
        <v>-2.7522935779816515E-2</v>
      </c>
      <c r="M25" s="411">
        <f t="shared" si="6"/>
        <v>-3.85E-2</v>
      </c>
      <c r="N25" s="411">
        <f t="shared" si="6"/>
        <v>0.14130434782608703</v>
      </c>
      <c r="O25" s="411">
        <f t="shared" si="6"/>
        <v>0.14130434782608703</v>
      </c>
      <c r="P25" s="411">
        <f t="shared" si="6"/>
        <v>0.14130434782608703</v>
      </c>
      <c r="Q25" s="411">
        <f t="shared" si="6"/>
        <v>0.14130434782608703</v>
      </c>
      <c r="R25" s="411">
        <f t="shared" si="6"/>
        <v>0.14130434782608703</v>
      </c>
      <c r="S25" s="406">
        <f>AA19</f>
        <v>0.10322580645161283</v>
      </c>
      <c r="T25" s="250"/>
      <c r="U25" s="397" t="s">
        <v>315</v>
      </c>
      <c r="V25" s="397">
        <v>9.5</v>
      </c>
      <c r="W25" s="397">
        <v>11.1</v>
      </c>
      <c r="X25" s="396">
        <f t="shared" si="3"/>
        <v>0.1684210526315788</v>
      </c>
      <c r="Y25" s="400">
        <f t="shared" si="2"/>
        <v>1.684210526315788E-2</v>
      </c>
      <c r="Z25" s="250"/>
      <c r="AA25" s="401">
        <f t="shared" si="5"/>
        <v>8.4210526315789402E-2</v>
      </c>
      <c r="AB25" s="562"/>
      <c r="AC25" s="250"/>
      <c r="AD25" s="250"/>
      <c r="AE25" s="250"/>
      <c r="AF25" s="250"/>
    </row>
    <row r="26" spans="1:33" ht="15" customHeight="1">
      <c r="A26" s="250"/>
      <c r="B26" s="287" t="s">
        <v>255</v>
      </c>
      <c r="C26" s="301"/>
      <c r="D26" s="411">
        <f t="shared" si="6"/>
        <v>0.12222222222222223</v>
      </c>
      <c r="E26" s="411">
        <f t="shared" si="6"/>
        <v>0.1148648648648648</v>
      </c>
      <c r="F26" s="411">
        <f t="shared" si="6"/>
        <v>8.4210526315789402E-2</v>
      </c>
      <c r="G26" s="411">
        <f t="shared" si="6"/>
        <v>4.2410714285714302E-2</v>
      </c>
      <c r="H26" s="411">
        <f t="shared" si="6"/>
        <v>4.2410714285714302E-2</v>
      </c>
      <c r="I26" s="411">
        <f t="shared" si="6"/>
        <v>4.2410714285714302E-2</v>
      </c>
      <c r="J26" s="411">
        <f t="shared" si="6"/>
        <v>4.2410714285714302E-2</v>
      </c>
      <c r="K26" s="411">
        <f t="shared" si="6"/>
        <v>-2.7522935779816515E-2</v>
      </c>
      <c r="L26" s="411">
        <f t="shared" si="6"/>
        <v>-2.7522935779816515E-2</v>
      </c>
      <c r="M26" s="411">
        <f t="shared" si="6"/>
        <v>-3.85E-2</v>
      </c>
      <c r="N26" s="411">
        <f t="shared" si="6"/>
        <v>0.14130434782608703</v>
      </c>
      <c r="O26" s="411">
        <f t="shared" si="6"/>
        <v>0.14130434782608703</v>
      </c>
      <c r="P26" s="411">
        <f t="shared" si="6"/>
        <v>0.14130434782608703</v>
      </c>
      <c r="Q26" s="411">
        <f t="shared" si="6"/>
        <v>0.14130434782608703</v>
      </c>
      <c r="R26" s="411">
        <f t="shared" si="6"/>
        <v>0.14130434782608703</v>
      </c>
      <c r="S26" s="406">
        <f>AA19</f>
        <v>0.10322580645161283</v>
      </c>
      <c r="T26" s="250"/>
      <c r="U26" s="397" t="s">
        <v>316</v>
      </c>
      <c r="V26" s="397">
        <v>4.5999999999999996</v>
      </c>
      <c r="W26" s="397">
        <v>5.9</v>
      </c>
      <c r="X26" s="396">
        <f t="shared" si="3"/>
        <v>0.28260869565217406</v>
      </c>
      <c r="Y26" s="400">
        <f t="shared" si="2"/>
        <v>2.8260869565217405E-2</v>
      </c>
      <c r="Z26" s="250"/>
      <c r="AA26" s="401">
        <f t="shared" si="5"/>
        <v>0.14130434782608703</v>
      </c>
      <c r="AB26" s="562"/>
      <c r="AC26" s="250"/>
      <c r="AD26" s="250"/>
      <c r="AE26" s="250"/>
      <c r="AF26" s="250"/>
    </row>
    <row r="27" spans="1:33" ht="15" customHeight="1" thickBot="1">
      <c r="A27" s="250"/>
      <c r="B27" s="557" t="s">
        <v>256</v>
      </c>
      <c r="C27" s="558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50"/>
      <c r="U27" s="397" t="s">
        <v>317</v>
      </c>
      <c r="V27" s="397">
        <v>9</v>
      </c>
      <c r="W27" s="397">
        <v>11.2</v>
      </c>
      <c r="X27" s="396">
        <f t="shared" si="3"/>
        <v>0.24444444444444446</v>
      </c>
      <c r="Y27" s="400">
        <f t="shared" si="2"/>
        <v>2.4444444444444446E-2</v>
      </c>
      <c r="Z27" s="250"/>
      <c r="AA27" s="401">
        <f t="shared" si="5"/>
        <v>0.12222222222222223</v>
      </c>
      <c r="AB27" s="562"/>
      <c r="AC27" s="250"/>
      <c r="AD27" s="250"/>
      <c r="AE27" s="250"/>
      <c r="AF27" s="250"/>
    </row>
    <row r="28" spans="1:33">
      <c r="A28" s="250"/>
      <c r="B28" s="302" t="s">
        <v>257</v>
      </c>
      <c r="C28" s="298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50"/>
      <c r="U28" s="397" t="s">
        <v>318</v>
      </c>
      <c r="V28" s="397">
        <v>7.4</v>
      </c>
      <c r="W28" s="397">
        <v>9.1</v>
      </c>
      <c r="X28" s="396">
        <f t="shared" si="3"/>
        <v>0.2297297297297296</v>
      </c>
      <c r="Y28" s="400">
        <f t="shared" si="2"/>
        <v>2.297297297297296E-2</v>
      </c>
      <c r="Z28" s="250"/>
      <c r="AA28" s="401">
        <f t="shared" si="5"/>
        <v>0.1148648648648648</v>
      </c>
      <c r="AB28" s="562"/>
      <c r="AC28" s="250"/>
      <c r="AD28" s="250"/>
      <c r="AE28" s="250"/>
      <c r="AF28" s="250"/>
    </row>
    <row r="29" spans="1:33" ht="15" customHeight="1" thickBot="1">
      <c r="A29" s="250"/>
      <c r="B29" s="287" t="s">
        <v>258</v>
      </c>
      <c r="C29" s="301"/>
      <c r="D29" s="411">
        <f t="shared" ref="D29:R29" si="7">D$30</f>
        <v>0.12222222222222223</v>
      </c>
      <c r="E29" s="411">
        <f t="shared" si="7"/>
        <v>0.1148648648648648</v>
      </c>
      <c r="F29" s="411">
        <f t="shared" si="7"/>
        <v>8.4210526315789402E-2</v>
      </c>
      <c r="G29" s="411">
        <f t="shared" si="7"/>
        <v>4.2410714285714302E-2</v>
      </c>
      <c r="H29" s="411">
        <f t="shared" si="7"/>
        <v>4.2410714285714302E-2</v>
      </c>
      <c r="I29" s="411">
        <f t="shared" si="7"/>
        <v>4.2410714285714302E-2</v>
      </c>
      <c r="J29" s="411">
        <f t="shared" si="7"/>
        <v>4.2410714285714302E-2</v>
      </c>
      <c r="K29" s="411">
        <f t="shared" si="7"/>
        <v>-2.7522935779816515E-2</v>
      </c>
      <c r="L29" s="411">
        <f t="shared" si="7"/>
        <v>-2.7522935779816515E-2</v>
      </c>
      <c r="M29" s="411">
        <f t="shared" si="7"/>
        <v>-3.85E-2</v>
      </c>
      <c r="N29" s="411">
        <f t="shared" si="7"/>
        <v>0.14130434782608703</v>
      </c>
      <c r="O29" s="411">
        <f t="shared" si="7"/>
        <v>0.14130434782608703</v>
      </c>
      <c r="P29" s="411">
        <f t="shared" si="7"/>
        <v>0.14130434782608703</v>
      </c>
      <c r="Q29" s="411">
        <f t="shared" si="7"/>
        <v>0.14130434782608703</v>
      </c>
      <c r="R29" s="411">
        <f t="shared" si="7"/>
        <v>0.14130434782608703</v>
      </c>
      <c r="S29" s="406">
        <f>AA21</f>
        <v>1.0526315789473606E-2</v>
      </c>
      <c r="T29" s="250"/>
      <c r="U29" s="397" t="s">
        <v>320</v>
      </c>
      <c r="V29" s="397">
        <v>0.5</v>
      </c>
      <c r="W29" s="397">
        <v>0.8</v>
      </c>
      <c r="X29" s="396">
        <f t="shared" si="3"/>
        <v>0.60000000000000009</v>
      </c>
      <c r="Y29" s="400">
        <f t="shared" si="2"/>
        <v>6.0000000000000012E-2</v>
      </c>
      <c r="Z29" s="250"/>
      <c r="AA29" s="402">
        <f t="shared" si="5"/>
        <v>0.30000000000000004</v>
      </c>
      <c r="AB29" s="562"/>
      <c r="AC29" s="250"/>
      <c r="AD29" s="250"/>
      <c r="AE29" s="250"/>
      <c r="AF29" s="250"/>
    </row>
    <row r="30" spans="1:33" ht="15.75" customHeight="1" thickBot="1">
      <c r="A30" s="250"/>
      <c r="B30" s="565" t="s">
        <v>319</v>
      </c>
      <c r="C30" s="566"/>
      <c r="D30" s="405">
        <f>AA27</f>
        <v>0.12222222222222223</v>
      </c>
      <c r="E30" s="405">
        <f>AA28</f>
        <v>0.1148648648648648</v>
      </c>
      <c r="F30" s="405">
        <f>AA25</f>
        <v>8.4210526315789402E-2</v>
      </c>
      <c r="G30" s="405">
        <f>AA24</f>
        <v>4.2410714285714302E-2</v>
      </c>
      <c r="H30" s="405">
        <f>AA24</f>
        <v>4.2410714285714302E-2</v>
      </c>
      <c r="I30" s="405">
        <f>AA24</f>
        <v>4.2410714285714302E-2</v>
      </c>
      <c r="J30" s="405">
        <f>AA24</f>
        <v>4.2410714285714302E-2</v>
      </c>
      <c r="K30" s="405">
        <f>AA23</f>
        <v>-2.7522935779816515E-2</v>
      </c>
      <c r="L30" s="405">
        <f>AA23</f>
        <v>-2.7522935779816515E-2</v>
      </c>
      <c r="M30" s="405">
        <v>-3.85E-2</v>
      </c>
      <c r="N30" s="405">
        <f>AA26</f>
        <v>0.14130434782608703</v>
      </c>
      <c r="O30" s="405">
        <f>AA26</f>
        <v>0.14130434782608703</v>
      </c>
      <c r="P30" s="405">
        <f>AA26</f>
        <v>0.14130434782608703</v>
      </c>
      <c r="Q30" s="405">
        <f>AA26</f>
        <v>0.14130434782608703</v>
      </c>
      <c r="R30" s="405">
        <f>AA26</f>
        <v>0.14130434782608703</v>
      </c>
      <c r="S30" s="404">
        <f>S22+S27+S29</f>
        <v>1.0526315789473606E-2</v>
      </c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</row>
    <row r="31" spans="1:33" ht="15.75" customHeight="1">
      <c r="A31" s="250"/>
      <c r="B31" s="412"/>
      <c r="C31" s="412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3"/>
      <c r="P31" s="413"/>
      <c r="Q31" s="413"/>
      <c r="R31" s="413"/>
      <c r="S31" s="414"/>
      <c r="T31" s="250"/>
      <c r="U31" s="390" t="s">
        <v>331</v>
      </c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</row>
    <row r="32" spans="1:33" ht="15.75" thickBot="1">
      <c r="A32" s="250"/>
      <c r="B32" s="431" t="s">
        <v>330</v>
      </c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</row>
    <row r="33" spans="1:34" ht="15" customHeight="1">
      <c r="A33" s="250"/>
      <c r="B33" s="544" t="s">
        <v>2</v>
      </c>
      <c r="C33" s="545"/>
      <c r="D33" s="548" t="s">
        <v>233</v>
      </c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50"/>
      <c r="T33" s="250"/>
      <c r="U33" s="415"/>
      <c r="V33" s="415"/>
      <c r="W33" s="415"/>
      <c r="X33" s="415"/>
      <c r="Y33" s="416"/>
      <c r="Z33" s="416"/>
      <c r="AA33" s="416"/>
      <c r="AB33" s="416"/>
      <c r="AC33" s="416"/>
      <c r="AD33" s="416"/>
      <c r="AE33" s="416"/>
      <c r="AF33" s="416"/>
      <c r="AG33" s="417"/>
      <c r="AH33" s="417"/>
    </row>
    <row r="34" spans="1:34" ht="14.25" customHeight="1">
      <c r="A34" s="250"/>
      <c r="B34" s="546"/>
      <c r="C34" s="547"/>
      <c r="D34" s="551" t="s">
        <v>77</v>
      </c>
      <c r="E34" s="551" t="s">
        <v>234</v>
      </c>
      <c r="F34" s="551" t="s">
        <v>235</v>
      </c>
      <c r="G34" s="551"/>
      <c r="H34" s="551"/>
      <c r="I34" s="551"/>
      <c r="J34" s="551"/>
      <c r="K34" s="551"/>
      <c r="L34" s="551"/>
      <c r="M34" s="551"/>
      <c r="N34" s="551" t="s">
        <v>236</v>
      </c>
      <c r="O34" s="551"/>
      <c r="P34" s="551"/>
      <c r="Q34" s="551"/>
      <c r="R34" s="551"/>
      <c r="S34" s="563" t="s">
        <v>237</v>
      </c>
      <c r="T34" s="250"/>
      <c r="U34" s="418"/>
      <c r="V34" s="415"/>
      <c r="W34" s="415"/>
      <c r="X34" s="415"/>
      <c r="Y34" s="416"/>
      <c r="Z34" s="416"/>
      <c r="AA34" s="416"/>
      <c r="AB34" s="416"/>
      <c r="AC34" s="416"/>
      <c r="AD34" s="416"/>
      <c r="AE34" s="416"/>
      <c r="AF34" s="416"/>
      <c r="AG34" s="417"/>
      <c r="AH34" s="417"/>
    </row>
    <row r="35" spans="1:34" ht="26.25" thickBot="1">
      <c r="A35" s="250"/>
      <c r="B35" s="546"/>
      <c r="C35" s="547"/>
      <c r="D35" s="552"/>
      <c r="E35" s="552"/>
      <c r="F35" s="278" t="s">
        <v>80</v>
      </c>
      <c r="G35" s="278" t="s">
        <v>238</v>
      </c>
      <c r="H35" s="278" t="s">
        <v>82</v>
      </c>
      <c r="I35" s="278" t="s">
        <v>84</v>
      </c>
      <c r="J35" s="278" t="s">
        <v>85</v>
      </c>
      <c r="K35" s="278" t="s">
        <v>239</v>
      </c>
      <c r="L35" s="278" t="s">
        <v>86</v>
      </c>
      <c r="M35" s="278" t="s">
        <v>240</v>
      </c>
      <c r="N35" s="278" t="s">
        <v>241</v>
      </c>
      <c r="O35" s="278" t="s">
        <v>242</v>
      </c>
      <c r="P35" s="278" t="s">
        <v>243</v>
      </c>
      <c r="Q35" s="278" t="s">
        <v>244</v>
      </c>
      <c r="R35" s="278" t="s">
        <v>245</v>
      </c>
      <c r="S35" s="564"/>
      <c r="T35" s="250"/>
      <c r="U35" s="415"/>
      <c r="V35" s="415"/>
      <c r="W35" s="415"/>
      <c r="X35" s="415"/>
      <c r="Y35" s="416"/>
      <c r="Z35" s="416"/>
      <c r="AA35" s="416"/>
      <c r="AB35" s="416"/>
      <c r="AC35" s="416"/>
      <c r="AD35" s="416"/>
      <c r="AE35" s="416"/>
      <c r="AF35" s="416"/>
      <c r="AG35" s="417"/>
      <c r="AH35" s="417"/>
    </row>
    <row r="36" spans="1:34" ht="15" customHeight="1">
      <c r="A36" s="250"/>
      <c r="B36" s="279" t="s">
        <v>246</v>
      </c>
      <c r="C36" s="280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50"/>
      <c r="U36" s="415"/>
      <c r="V36" s="415"/>
      <c r="W36" s="415"/>
      <c r="X36" s="415"/>
      <c r="Y36" s="416"/>
      <c r="Z36" s="416"/>
      <c r="AA36" s="416"/>
      <c r="AB36" s="416"/>
      <c r="AC36" s="416"/>
      <c r="AD36" s="416"/>
      <c r="AE36" s="416"/>
      <c r="AF36" s="416"/>
      <c r="AG36" s="417"/>
      <c r="AH36" s="417"/>
    </row>
    <row r="37" spans="1:34" ht="14.25" customHeight="1">
      <c r="A37" s="250"/>
      <c r="B37" s="283" t="s">
        <v>247</v>
      </c>
      <c r="C37" s="284"/>
      <c r="D37" s="421">
        <f>SUM_SEAP!D13*(1+BAU!D15)</f>
        <v>52053.155555555553</v>
      </c>
      <c r="E37" s="421">
        <f>SUM_SEAP!E13*(1+BAU!E15)</f>
        <v>165477.16216216216</v>
      </c>
      <c r="F37" s="421">
        <f>SUM_SEAP!F13*(1+BAU!F15)</f>
        <v>94381.610526315781</v>
      </c>
      <c r="G37" s="421">
        <f>SUM_SEAP!G13*(1+BAU!G15)</f>
        <v>64.473040133928578</v>
      </c>
      <c r="H37" s="421">
        <f>SUM_SEAP!H13*(1+BAU!H15)</f>
        <v>2637.7420459871032</v>
      </c>
      <c r="I37" s="421">
        <f>SUM_SEAP!I13*(1+BAU!I15)</f>
        <v>0</v>
      </c>
      <c r="J37" s="421">
        <f>SUM_SEAP!J13*(1+BAU!J15)</f>
        <v>0</v>
      </c>
      <c r="K37" s="421">
        <f>SUM_SEAP!K13*(1+BAU!K15)</f>
        <v>0</v>
      </c>
      <c r="L37" s="421">
        <f>SUM_SEAP!L13*(1+BAU!L15)</f>
        <v>0</v>
      </c>
      <c r="M37" s="421">
        <f>SUM_SEAP!M13*(1+BAU!M15)</f>
        <v>388.5610595</v>
      </c>
      <c r="N37" s="421">
        <f>SUM_SEAP!N13*(1+BAU!N15)</f>
        <v>0</v>
      </c>
      <c r="O37" s="421">
        <f>SUM_SEAP!O13*(1+BAU!O15)</f>
        <v>13302.877989130433</v>
      </c>
      <c r="P37" s="421">
        <f>SUM_SEAP!P13*(1+BAU!P15)</f>
        <v>0</v>
      </c>
      <c r="Q37" s="421">
        <f>SUM_SEAP!Q13*(1+BAU!Q15)</f>
        <v>0</v>
      </c>
      <c r="R37" s="421">
        <f>SUM_SEAP!R13*(1+BAU!R15)</f>
        <v>0</v>
      </c>
      <c r="S37" s="422">
        <f>SUM(D37:R37)</f>
        <v>328305.58237878495</v>
      </c>
      <c r="T37" s="250"/>
      <c r="U37" s="415"/>
      <c r="V37" s="415"/>
      <c r="W37" s="415"/>
      <c r="X37" s="415"/>
      <c r="Y37" s="416"/>
      <c r="Z37" s="416"/>
      <c r="AA37" s="416"/>
      <c r="AB37" s="416"/>
      <c r="AC37" s="416"/>
      <c r="AD37" s="416"/>
      <c r="AE37" s="416"/>
      <c r="AF37" s="416"/>
      <c r="AG37" s="417"/>
      <c r="AH37" s="417"/>
    </row>
    <row r="38" spans="1:34" ht="14.25" customHeight="1">
      <c r="A38" s="250"/>
      <c r="B38" s="287" t="s">
        <v>248</v>
      </c>
      <c r="C38" s="288"/>
      <c r="D38" s="421">
        <f>SUM_SEAP!D14*(1+BAU!D16)</f>
        <v>1021765.3777777777</v>
      </c>
      <c r="E38" s="421">
        <f>SUM_SEAP!E14*(1+BAU!E16)</f>
        <v>493127.02702702704</v>
      </c>
      <c r="F38" s="421">
        <f>SUM_SEAP!F14*(1+BAU!F16)</f>
        <v>230529.061491228</v>
      </c>
      <c r="G38" s="421">
        <f>SUM_SEAP!G14*(1+BAU!G16)</f>
        <v>1824.9064967998518</v>
      </c>
      <c r="H38" s="421">
        <f>SUM_SEAP!H14*(1+BAU!H16)</f>
        <v>24519.91202256945</v>
      </c>
      <c r="I38" s="421">
        <f>SUM_SEAP!I14*(1+BAU!I16)</f>
        <v>0</v>
      </c>
      <c r="J38" s="421">
        <f>SUM_SEAP!J14*(1+BAU!J16)</f>
        <v>0</v>
      </c>
      <c r="K38" s="421">
        <f>SUM_SEAP!K14*(1+BAU!K16)</f>
        <v>0</v>
      </c>
      <c r="L38" s="421">
        <f>SUM_SEAP!L14*(1+BAU!L16)</f>
        <v>0</v>
      </c>
      <c r="M38" s="421">
        <f>SUM_SEAP!M14*(1+BAU!M16)</f>
        <v>27281.344599999997</v>
      </c>
      <c r="N38" s="421">
        <f>SUM_SEAP!N14*(1+BAU!N16)</f>
        <v>0</v>
      </c>
      <c r="O38" s="421">
        <f>SUM_SEAP!O14*(1+BAU!O16)</f>
        <v>0</v>
      </c>
      <c r="P38" s="421">
        <f>SUM_SEAP!P14*(1+BAU!P16)</f>
        <v>0</v>
      </c>
      <c r="Q38" s="421">
        <f>SUM_SEAP!Q14*(1+BAU!Q16)</f>
        <v>0</v>
      </c>
      <c r="R38" s="421">
        <f>SUM_SEAP!R14*(1+BAU!R16)</f>
        <v>0</v>
      </c>
      <c r="S38" s="422">
        <f t="shared" ref="S38:S43" si="8">SUM(D38:R38)</f>
        <v>1799047.629415402</v>
      </c>
      <c r="T38" s="250"/>
      <c r="U38" s="394"/>
      <c r="V38" s="395"/>
      <c r="W38" s="395"/>
      <c r="X38" s="395"/>
      <c r="Y38" s="415"/>
      <c r="Z38" s="416"/>
      <c r="AA38" s="416"/>
      <c r="AB38" s="416"/>
      <c r="AC38" s="416"/>
      <c r="AD38" s="416"/>
      <c r="AE38" s="416"/>
      <c r="AF38" s="416"/>
      <c r="AG38" s="417"/>
      <c r="AH38" s="417"/>
    </row>
    <row r="39" spans="1:34" ht="15" customHeight="1">
      <c r="A39" s="250"/>
      <c r="B39" s="287" t="s">
        <v>0</v>
      </c>
      <c r="C39" s="288"/>
      <c r="D39" s="421">
        <f>SUM_SEAP!D15*(1+BAU!D17)</f>
        <v>627240.30000000005</v>
      </c>
      <c r="E39" s="421">
        <f>SUM_SEAP!E15*(1+BAU!E17)</f>
        <v>1378479.1216216218</v>
      </c>
      <c r="F39" s="421">
        <f>SUM_SEAP!F15*(1+BAU!F17)</f>
        <v>1124948.6526315787</v>
      </c>
      <c r="G39" s="421">
        <f>SUM_SEAP!G15*(1+BAU!G17)</f>
        <v>28373.946040922627</v>
      </c>
      <c r="H39" s="421">
        <f>SUM_SEAP!H15*(1+BAU!H17)</f>
        <v>3092.8325892857147</v>
      </c>
      <c r="I39" s="421">
        <f>SUM_SEAP!I15*(1+BAU!I17)</f>
        <v>0</v>
      </c>
      <c r="J39" s="421">
        <f>SUM_SEAP!J15*(1+BAU!J17)</f>
        <v>0</v>
      </c>
      <c r="K39" s="421">
        <f>SUM_SEAP!K15*(1+BAU!K17)</f>
        <v>0</v>
      </c>
      <c r="L39" s="421">
        <f>SUM_SEAP!L15*(1+BAU!L17)</f>
        <v>572931.94495412835</v>
      </c>
      <c r="M39" s="421">
        <f>SUM_SEAP!M15*(1+BAU!M17)</f>
        <v>0</v>
      </c>
      <c r="N39" s="421">
        <f>SUM_SEAP!N15*(1+BAU!N17)</f>
        <v>0</v>
      </c>
      <c r="O39" s="421">
        <f>SUM_SEAP!O15*(1+BAU!O17)</f>
        <v>0</v>
      </c>
      <c r="P39" s="421">
        <f>SUM_SEAP!P15*(1+BAU!P17)</f>
        <v>513788.78042335593</v>
      </c>
      <c r="Q39" s="421">
        <f>SUM_SEAP!Q15*(1+BAU!Q17)</f>
        <v>7243.425000000002</v>
      </c>
      <c r="R39" s="421">
        <f>SUM_SEAP!R15*(1+BAU!R17)</f>
        <v>0</v>
      </c>
      <c r="S39" s="422">
        <f t="shared" si="8"/>
        <v>4256099.0032608937</v>
      </c>
      <c r="T39" s="250"/>
      <c r="U39" s="394"/>
      <c r="V39" s="394"/>
      <c r="W39" s="394"/>
      <c r="X39" s="394"/>
      <c r="Y39" s="419"/>
      <c r="Z39" s="416"/>
      <c r="AA39" s="420"/>
      <c r="AB39" s="416"/>
      <c r="AC39" s="416"/>
      <c r="AD39" s="416"/>
      <c r="AE39" s="416"/>
      <c r="AF39" s="416"/>
      <c r="AG39" s="417"/>
      <c r="AH39" s="417"/>
    </row>
    <row r="40" spans="1:34" ht="15" customHeight="1">
      <c r="A40" s="250"/>
      <c r="B40" s="287" t="s">
        <v>42</v>
      </c>
      <c r="C40" s="288"/>
      <c r="D40" s="421">
        <f>SUM_SEAP!D16*(1+BAU!D18)</f>
        <v>37361.022222222222</v>
      </c>
      <c r="E40" s="421">
        <f>SUM_SEAP!E16*(1+BAU!E18)</f>
        <v>0</v>
      </c>
      <c r="F40" s="421">
        <f>SUM_SEAP!F16*(1+BAU!F18)</f>
        <v>544.2736842105262</v>
      </c>
      <c r="G40" s="421">
        <f>SUM_SEAP!G16*(1+BAU!G18)</f>
        <v>0</v>
      </c>
      <c r="H40" s="421">
        <f>SUM_SEAP!H16*(1+BAU!H18)</f>
        <v>0</v>
      </c>
      <c r="I40" s="421">
        <f>SUM_SEAP!I16*(1+BAU!I18)</f>
        <v>0</v>
      </c>
      <c r="J40" s="421">
        <f>SUM_SEAP!J16*(1+BAU!J18)</f>
        <v>0</v>
      </c>
      <c r="K40" s="421">
        <f>SUM_SEAP!K16*(1+BAU!K18)</f>
        <v>0</v>
      </c>
      <c r="L40" s="421">
        <f>SUM_SEAP!L16*(1+BAU!L18)</f>
        <v>0</v>
      </c>
      <c r="M40" s="421">
        <f>SUM_SEAP!M16*(1+BAU!M18)</f>
        <v>0</v>
      </c>
      <c r="N40" s="421">
        <f>SUM_SEAP!N16*(1+BAU!N18)</f>
        <v>0</v>
      </c>
      <c r="O40" s="421">
        <f>SUM_SEAP!O16*(1+BAU!O18)</f>
        <v>0</v>
      </c>
      <c r="P40" s="421">
        <f>SUM_SEAP!P16*(1+BAU!P18)</f>
        <v>0</v>
      </c>
      <c r="Q40" s="421">
        <f>SUM_SEAP!Q16*(1+BAU!Q18)</f>
        <v>0</v>
      </c>
      <c r="R40" s="421">
        <f>SUM_SEAP!R16*(1+BAU!R18)</f>
        <v>0</v>
      </c>
      <c r="S40" s="422">
        <f t="shared" si="8"/>
        <v>37905.295906432752</v>
      </c>
      <c r="T40" s="250"/>
      <c r="U40" s="395"/>
      <c r="V40" s="395"/>
      <c r="W40" s="395"/>
      <c r="X40" s="396"/>
      <c r="Y40" s="396"/>
      <c r="Z40" s="416"/>
      <c r="AA40" s="393"/>
      <c r="AB40" s="553"/>
      <c r="AC40" s="416"/>
      <c r="AD40" s="416"/>
      <c r="AE40" s="416"/>
      <c r="AF40" s="416"/>
      <c r="AG40" s="417"/>
      <c r="AH40" s="417"/>
    </row>
    <row r="41" spans="1:34" ht="15" customHeight="1">
      <c r="A41" s="250"/>
      <c r="B41" s="554" t="s">
        <v>11</v>
      </c>
      <c r="C41" s="368" t="s">
        <v>249</v>
      </c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250"/>
      <c r="U41" s="395"/>
      <c r="V41" s="395"/>
      <c r="W41" s="395"/>
      <c r="X41" s="396"/>
      <c r="Y41" s="396"/>
      <c r="Z41" s="416"/>
      <c r="AA41" s="393"/>
      <c r="AB41" s="553"/>
      <c r="AC41" s="416"/>
      <c r="AD41" s="416"/>
      <c r="AE41" s="416"/>
      <c r="AF41" s="416"/>
      <c r="AG41" s="417"/>
      <c r="AH41" s="417"/>
    </row>
    <row r="42" spans="1:34" ht="18.75" customHeight="1">
      <c r="A42" s="250"/>
      <c r="B42" s="555"/>
      <c r="C42" s="369" t="s">
        <v>250</v>
      </c>
      <c r="D42" s="423"/>
      <c r="E42" s="423"/>
      <c r="F42" s="423"/>
      <c r="G42" s="423"/>
      <c r="H42" s="423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250"/>
      <c r="U42" s="395"/>
      <c r="V42" s="395"/>
      <c r="W42" s="395"/>
      <c r="X42" s="396"/>
      <c r="Y42" s="396"/>
      <c r="Z42" s="416"/>
      <c r="AA42" s="393"/>
      <c r="AB42" s="553"/>
      <c r="AC42" s="416"/>
      <c r="AD42" s="416"/>
      <c r="AE42" s="416"/>
      <c r="AF42" s="416"/>
      <c r="AG42" s="417"/>
      <c r="AH42" s="417"/>
    </row>
    <row r="43" spans="1:34" ht="18.75" customHeight="1">
      <c r="A43" s="250"/>
      <c r="B43" s="556"/>
      <c r="C43" s="290" t="s">
        <v>237</v>
      </c>
      <c r="D43" s="421">
        <f>SUM_SEAP!D19*(1+BAU!D21)</f>
        <v>663695.68888888892</v>
      </c>
      <c r="E43" s="421">
        <f>SUM_SEAP!E19*(1+BAU!E21)</f>
        <v>114766.35698198198</v>
      </c>
      <c r="F43" s="421">
        <f>SUM_SEAP!F19*(1+BAU!F21)</f>
        <v>408546.78947368416</v>
      </c>
      <c r="G43" s="421">
        <f>SUM_SEAP!G19*(1+BAU!G21)</f>
        <v>1.0424107142857144</v>
      </c>
      <c r="H43" s="421">
        <f>SUM_SEAP!H19*(1+BAU!H21)</f>
        <v>3611.9531250000005</v>
      </c>
      <c r="I43" s="421">
        <f>SUM_SEAP!I19*(1+BAU!I21)</f>
        <v>0</v>
      </c>
      <c r="J43" s="421">
        <f>SUM_SEAP!J19*(1+BAU!J21)</f>
        <v>0</v>
      </c>
      <c r="K43" s="421">
        <f>SUM_SEAP!K19*(1+BAU!K21)</f>
        <v>0</v>
      </c>
      <c r="L43" s="421">
        <f>SUM_SEAP!L19*(1+BAU!L21)</f>
        <v>0</v>
      </c>
      <c r="M43" s="421">
        <f>SUM_SEAP!M19*(1+BAU!M21)</f>
        <v>63095.553</v>
      </c>
      <c r="N43" s="421">
        <f>SUM_SEAP!N19*(1+BAU!N21)</f>
        <v>0</v>
      </c>
      <c r="O43" s="421">
        <f>SUM_SEAP!O19*(1+BAU!O21)</f>
        <v>0</v>
      </c>
      <c r="P43" s="421">
        <f>SUM_SEAP!P19*(1+BAU!P21)</f>
        <v>0</v>
      </c>
      <c r="Q43" s="421">
        <f>SUM_SEAP!Q19*(1+BAU!Q21)</f>
        <v>0</v>
      </c>
      <c r="R43" s="421">
        <f>SUM_SEAP!R19*(1+BAU!R21)</f>
        <v>0</v>
      </c>
      <c r="S43" s="424">
        <f t="shared" si="8"/>
        <v>1253717.3838802695</v>
      </c>
      <c r="T43" s="250"/>
      <c r="U43" s="395"/>
      <c r="V43" s="395"/>
      <c r="W43" s="395"/>
      <c r="X43" s="396"/>
      <c r="Y43" s="396"/>
      <c r="Z43" s="416"/>
      <c r="AA43" s="393"/>
      <c r="AB43" s="553"/>
      <c r="AC43" s="416"/>
      <c r="AD43" s="416"/>
      <c r="AE43" s="416"/>
      <c r="AF43" s="416"/>
      <c r="AG43" s="417"/>
      <c r="AH43" s="417"/>
    </row>
    <row r="44" spans="1:34" ht="15" customHeight="1" thickBot="1">
      <c r="A44" s="250"/>
      <c r="B44" s="293" t="s">
        <v>251</v>
      </c>
      <c r="C44" s="294"/>
      <c r="D44" s="425">
        <f>SUM(D37:D40,D43)</f>
        <v>2402115.5444444446</v>
      </c>
      <c r="E44" s="425">
        <f t="shared" ref="E44:R44" si="9">SUM(E37:E40,E43)</f>
        <v>2151849.6677927929</v>
      </c>
      <c r="F44" s="425">
        <f t="shared" si="9"/>
        <v>1858950.3878070172</v>
      </c>
      <c r="G44" s="425">
        <f t="shared" si="9"/>
        <v>30264.367988570692</v>
      </c>
      <c r="H44" s="425">
        <f t="shared" si="9"/>
        <v>33862.439782842266</v>
      </c>
      <c r="I44" s="425">
        <f t="shared" si="9"/>
        <v>0</v>
      </c>
      <c r="J44" s="425">
        <f t="shared" si="9"/>
        <v>0</v>
      </c>
      <c r="K44" s="425">
        <f t="shared" si="9"/>
        <v>0</v>
      </c>
      <c r="L44" s="425">
        <f t="shared" si="9"/>
        <v>572931.94495412835</v>
      </c>
      <c r="M44" s="425">
        <f t="shared" si="9"/>
        <v>90765.4586595</v>
      </c>
      <c r="N44" s="425">
        <f t="shared" si="9"/>
        <v>0</v>
      </c>
      <c r="O44" s="425">
        <f t="shared" si="9"/>
        <v>13302.877989130433</v>
      </c>
      <c r="P44" s="425">
        <f t="shared" si="9"/>
        <v>513788.78042335593</v>
      </c>
      <c r="Q44" s="425">
        <f t="shared" si="9"/>
        <v>7243.425000000002</v>
      </c>
      <c r="R44" s="425">
        <f t="shared" si="9"/>
        <v>0</v>
      </c>
      <c r="S44" s="426">
        <f>SUM(S37:S43)</f>
        <v>7675074.8948417827</v>
      </c>
      <c r="T44" s="250"/>
      <c r="U44" s="394"/>
      <c r="V44" s="394"/>
      <c r="W44" s="394"/>
      <c r="X44" s="399"/>
      <c r="Y44" s="419"/>
      <c r="Z44" s="416"/>
      <c r="AA44" s="393"/>
      <c r="AB44" s="553"/>
      <c r="AC44" s="416"/>
      <c r="AD44" s="416"/>
      <c r="AE44" s="416"/>
      <c r="AF44" s="416"/>
      <c r="AG44" s="417"/>
      <c r="AH44" s="417"/>
    </row>
    <row r="45" spans="1:34" ht="15" customHeight="1">
      <c r="A45" s="250"/>
      <c r="B45" s="297" t="s">
        <v>252</v>
      </c>
      <c r="C45" s="298"/>
      <c r="D45" s="427"/>
      <c r="E45" s="427"/>
      <c r="F45" s="427"/>
      <c r="G45" s="427"/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8"/>
      <c r="T45" s="250"/>
      <c r="U45" s="395"/>
      <c r="V45" s="395"/>
      <c r="W45" s="395"/>
      <c r="X45" s="396"/>
      <c r="Y45" s="396"/>
      <c r="Z45" s="416"/>
      <c r="AA45" s="393"/>
      <c r="AB45" s="553"/>
      <c r="AC45" s="416"/>
      <c r="AD45" s="416"/>
      <c r="AE45" s="416"/>
      <c r="AF45" s="416"/>
      <c r="AG45" s="417"/>
      <c r="AH45" s="417"/>
    </row>
    <row r="46" spans="1:34" ht="15" customHeight="1">
      <c r="A46" s="250"/>
      <c r="B46" s="287" t="s">
        <v>253</v>
      </c>
      <c r="C46" s="301"/>
      <c r="D46" s="421">
        <f>SUM_SEAP!D22*(1+BAU!D24)</f>
        <v>0</v>
      </c>
      <c r="E46" s="421">
        <f>SUM_SEAP!E22*(1+BAU!E24)</f>
        <v>0</v>
      </c>
      <c r="F46" s="421">
        <f>SUM_SEAP!F22*(1+BAU!F24)</f>
        <v>0</v>
      </c>
      <c r="G46" s="421">
        <f>SUM_SEAP!G22*(1+BAU!G24)</f>
        <v>0</v>
      </c>
      <c r="H46" s="421">
        <f>SUM_SEAP!H22*(1+BAU!H24)</f>
        <v>0</v>
      </c>
      <c r="I46" s="421">
        <f>SUM_SEAP!I22*(1+BAU!I24)</f>
        <v>1.0153312727864584E-2</v>
      </c>
      <c r="J46" s="421">
        <f>SUM_SEAP!J22*(1+BAU!J24)</f>
        <v>18.3589375</v>
      </c>
      <c r="K46" s="421">
        <f>SUM_SEAP!K22*(1+BAU!K24)</f>
        <v>0</v>
      </c>
      <c r="L46" s="421">
        <f>SUM_SEAP!L22*(1+BAU!L24)</f>
        <v>0</v>
      </c>
      <c r="M46" s="421">
        <f>SUM_SEAP!M22*(1+BAU!M24)</f>
        <v>0</v>
      </c>
      <c r="N46" s="421">
        <f>SUM_SEAP!N22*(1+BAU!N24)</f>
        <v>0</v>
      </c>
      <c r="O46" s="421">
        <f>SUM_SEAP!O22*(1+BAU!O24)</f>
        <v>0</v>
      </c>
      <c r="P46" s="421">
        <f>SUM_SEAP!P22*(1+BAU!P24)</f>
        <v>0</v>
      </c>
      <c r="Q46" s="421">
        <f>SUM_SEAP!Q22*(1+BAU!Q24)</f>
        <v>0</v>
      </c>
      <c r="R46" s="421">
        <f>SUM_SEAP!R22*(1+BAU!R24)</f>
        <v>0</v>
      </c>
      <c r="S46" s="424">
        <f>SUM(D46:R46)</f>
        <v>18.369090812727865</v>
      </c>
      <c r="T46" s="250"/>
      <c r="U46" s="395"/>
      <c r="V46" s="395"/>
      <c r="W46" s="395"/>
      <c r="X46" s="396"/>
      <c r="Y46" s="396"/>
      <c r="Z46" s="416"/>
      <c r="AA46" s="393"/>
      <c r="AB46" s="553"/>
      <c r="AC46" s="416"/>
      <c r="AD46" s="416"/>
      <c r="AE46" s="416"/>
      <c r="AF46" s="416"/>
      <c r="AG46" s="417"/>
      <c r="AH46" s="417"/>
    </row>
    <row r="47" spans="1:34" ht="15" customHeight="1">
      <c r="A47" s="250"/>
      <c r="B47" s="287" t="s">
        <v>254</v>
      </c>
      <c r="C47" s="301"/>
      <c r="D47" s="421">
        <f>SUM_SEAP!D23*(1+BAU!D25)</f>
        <v>69651.844444444447</v>
      </c>
      <c r="E47" s="421">
        <f>SUM_SEAP!E23*(1+BAU!E25)</f>
        <v>0</v>
      </c>
      <c r="F47" s="421">
        <f>SUM_SEAP!F23*(1+BAU!F25)</f>
        <v>0</v>
      </c>
      <c r="G47" s="421">
        <f>SUM_SEAP!G23*(1+BAU!G25)</f>
        <v>0</v>
      </c>
      <c r="H47" s="421">
        <f>SUM_SEAP!H23*(1+BAU!H25)</f>
        <v>0</v>
      </c>
      <c r="I47" s="421">
        <f>SUM_SEAP!I23*(1+BAU!I25)</f>
        <v>117803.87723214287</v>
      </c>
      <c r="J47" s="421">
        <f>SUM_SEAP!J23*(1+BAU!J25)</f>
        <v>0</v>
      </c>
      <c r="K47" s="421">
        <f>SUM_SEAP!K23*(1+BAU!K25)</f>
        <v>0</v>
      </c>
      <c r="L47" s="421">
        <f>SUM_SEAP!L23*(1+BAU!L25)</f>
        <v>0</v>
      </c>
      <c r="M47" s="421">
        <f>SUM_SEAP!M23*(1+BAU!M25)</f>
        <v>0</v>
      </c>
      <c r="N47" s="421">
        <f>SUM_SEAP!N23*(1+BAU!N25)</f>
        <v>0</v>
      </c>
      <c r="O47" s="421">
        <f>SUM_SEAP!O23*(1+BAU!O25)</f>
        <v>0</v>
      </c>
      <c r="P47" s="421">
        <f>SUM_SEAP!P23*(1+BAU!P25)</f>
        <v>0</v>
      </c>
      <c r="Q47" s="421">
        <f>SUM_SEAP!Q23*(1+BAU!Q25)</f>
        <v>0</v>
      </c>
      <c r="R47" s="421">
        <f>SUM_SEAP!R23*(1+BAU!R25)</f>
        <v>0</v>
      </c>
      <c r="S47" s="424">
        <f>SUM(D47:R47)</f>
        <v>187455.7216765873</v>
      </c>
      <c r="T47" s="250"/>
      <c r="U47" s="395"/>
      <c r="V47" s="395"/>
      <c r="W47" s="395"/>
      <c r="X47" s="396"/>
      <c r="Y47" s="396"/>
      <c r="Z47" s="416"/>
      <c r="AA47" s="393"/>
      <c r="AB47" s="553"/>
      <c r="AC47" s="416"/>
      <c r="AD47" s="416"/>
      <c r="AE47" s="416"/>
      <c r="AF47" s="416"/>
      <c r="AG47" s="417"/>
      <c r="AH47" s="417"/>
    </row>
    <row r="48" spans="1:34" ht="15" customHeight="1">
      <c r="A48" s="250"/>
      <c r="B48" s="287" t="s">
        <v>255</v>
      </c>
      <c r="C48" s="301"/>
      <c r="D48" s="421">
        <f>SUM_SEAP!D24*(1+BAU!D26)</f>
        <v>20241.522222222222</v>
      </c>
      <c r="E48" s="421">
        <f>SUM_SEAP!E24*(1+BAU!E26)</f>
        <v>0</v>
      </c>
      <c r="F48" s="421">
        <f>SUM_SEAP!F24*(1+BAU!F26)</f>
        <v>2874.2421052631576</v>
      </c>
      <c r="G48" s="421">
        <f>SUM_SEAP!G24*(1+BAU!G26)</f>
        <v>244098.1897321429</v>
      </c>
      <c r="H48" s="421">
        <f>SUM_SEAP!H24*(1+BAU!H26)</f>
        <v>0</v>
      </c>
      <c r="I48" s="421">
        <f>SUM_SEAP!I24*(1+BAU!I26)</f>
        <v>2053143.6093750002</v>
      </c>
      <c r="J48" s="421">
        <f>SUM_SEAP!J24*(1+BAU!J26)</f>
        <v>1724787.361607143</v>
      </c>
      <c r="K48" s="421">
        <f>SUM_SEAP!K24*(1+BAU!K26)</f>
        <v>0</v>
      </c>
      <c r="L48" s="421">
        <f>SUM_SEAP!L24*(1+BAU!L26)</f>
        <v>0</v>
      </c>
      <c r="M48" s="421">
        <f>SUM_SEAP!M24*(1+BAU!M26)</f>
        <v>0</v>
      </c>
      <c r="N48" s="421">
        <f>SUM_SEAP!N24*(1+BAU!N26)</f>
        <v>485.51665927536226</v>
      </c>
      <c r="O48" s="421">
        <f>SUM_SEAP!O24*(1+BAU!O26)</f>
        <v>18.111952173913046</v>
      </c>
      <c r="P48" s="421">
        <f>SUM_SEAP!P24*(1+BAU!P26)</f>
        <v>0</v>
      </c>
      <c r="Q48" s="421">
        <f>SUM_SEAP!Q24*(1+BAU!Q26)</f>
        <v>0</v>
      </c>
      <c r="R48" s="421">
        <f>SUM_SEAP!R24*(1+BAU!R26)</f>
        <v>0</v>
      </c>
      <c r="S48" s="424">
        <f>SUM(D48:R48)</f>
        <v>4045648.5536532206</v>
      </c>
      <c r="T48" s="250"/>
      <c r="U48" s="395"/>
      <c r="V48" s="395"/>
      <c r="W48" s="395"/>
      <c r="X48" s="396"/>
      <c r="Y48" s="396"/>
      <c r="Z48" s="416"/>
      <c r="AA48" s="393"/>
      <c r="AB48" s="553"/>
      <c r="AC48" s="416"/>
      <c r="AD48" s="416"/>
      <c r="AE48" s="416"/>
      <c r="AF48" s="416"/>
      <c r="AG48" s="417"/>
      <c r="AH48" s="417"/>
    </row>
    <row r="49" spans="1:34" ht="15" customHeight="1" thickBot="1">
      <c r="A49" s="250"/>
      <c r="B49" s="557" t="s">
        <v>256</v>
      </c>
      <c r="C49" s="558"/>
      <c r="D49" s="425">
        <f>SUM(D46:D48)</f>
        <v>89893.366666666669</v>
      </c>
      <c r="E49" s="425">
        <f t="shared" ref="E49:R49" si="10">SUM(E46:E48)</f>
        <v>0</v>
      </c>
      <c r="F49" s="425">
        <f t="shared" si="10"/>
        <v>2874.2421052631576</v>
      </c>
      <c r="G49" s="425">
        <f t="shared" si="10"/>
        <v>244098.1897321429</v>
      </c>
      <c r="H49" s="425">
        <f t="shared" si="10"/>
        <v>0</v>
      </c>
      <c r="I49" s="425">
        <f t="shared" si="10"/>
        <v>2170947.4967604559</v>
      </c>
      <c r="J49" s="425">
        <f t="shared" si="10"/>
        <v>1724805.720544643</v>
      </c>
      <c r="K49" s="425">
        <f t="shared" si="10"/>
        <v>0</v>
      </c>
      <c r="L49" s="425">
        <f t="shared" si="10"/>
        <v>0</v>
      </c>
      <c r="M49" s="425">
        <f t="shared" si="10"/>
        <v>0</v>
      </c>
      <c r="N49" s="425">
        <f t="shared" si="10"/>
        <v>485.51665927536226</v>
      </c>
      <c r="O49" s="425">
        <f t="shared" si="10"/>
        <v>18.111952173913046</v>
      </c>
      <c r="P49" s="425">
        <f t="shared" si="10"/>
        <v>0</v>
      </c>
      <c r="Q49" s="425">
        <f t="shared" si="10"/>
        <v>0</v>
      </c>
      <c r="R49" s="425">
        <f t="shared" si="10"/>
        <v>0</v>
      </c>
      <c r="S49" s="426">
        <f>SUM(S46:S48)</f>
        <v>4233122.644420621</v>
      </c>
      <c r="T49" s="250"/>
      <c r="U49" s="395"/>
      <c r="V49" s="395"/>
      <c r="W49" s="395"/>
      <c r="X49" s="396"/>
      <c r="Y49" s="396"/>
      <c r="Z49" s="416"/>
      <c r="AA49" s="393"/>
      <c r="AB49" s="553"/>
      <c r="AC49" s="416"/>
      <c r="AD49" s="416"/>
      <c r="AE49" s="416"/>
      <c r="AF49" s="416"/>
      <c r="AG49" s="417"/>
      <c r="AH49" s="417"/>
    </row>
    <row r="50" spans="1:34">
      <c r="A50" s="250"/>
      <c r="B50" s="302" t="s">
        <v>257</v>
      </c>
      <c r="C50" s="298"/>
      <c r="D50" s="427"/>
      <c r="E50" s="427"/>
      <c r="F50" s="427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9"/>
      <c r="T50" s="250"/>
      <c r="U50" s="395"/>
      <c r="V50" s="395"/>
      <c r="W50" s="395"/>
      <c r="X50" s="396"/>
      <c r="Y50" s="396"/>
      <c r="Z50" s="416"/>
      <c r="AA50" s="393"/>
      <c r="AB50" s="553"/>
      <c r="AC50" s="416"/>
      <c r="AD50" s="416"/>
      <c r="AE50" s="416"/>
      <c r="AF50" s="416"/>
      <c r="AG50" s="417"/>
      <c r="AH50" s="417"/>
    </row>
    <row r="51" spans="1:34" ht="15" customHeight="1">
      <c r="A51" s="250"/>
      <c r="B51" s="287" t="s">
        <v>258</v>
      </c>
      <c r="C51" s="301"/>
      <c r="D51" s="421">
        <f>SUM_SEAP!D27*(1+BAU!D29)</f>
        <v>0</v>
      </c>
      <c r="E51" s="421">
        <f>SUM_SEAP!E27*(1+BAU!E29)</f>
        <v>0</v>
      </c>
      <c r="F51" s="421">
        <f>SUM_SEAP!F27*(1+BAU!F29)</f>
        <v>4133.7333333333318</v>
      </c>
      <c r="G51" s="421">
        <f>SUM_SEAP!G27*(1+BAU!G29)</f>
        <v>0</v>
      </c>
      <c r="H51" s="421">
        <f>SUM_SEAP!H27*(1+BAU!H29)</f>
        <v>0</v>
      </c>
      <c r="I51" s="421">
        <f>SUM_SEAP!I27*(1+BAU!I29)</f>
        <v>11359.149553571429</v>
      </c>
      <c r="J51" s="421">
        <f>SUM_SEAP!J27*(1+BAU!J29)</f>
        <v>0</v>
      </c>
      <c r="K51" s="421">
        <f>SUM_SEAP!K27*(1+BAU!K29)</f>
        <v>0</v>
      </c>
      <c r="L51" s="421">
        <f>SUM_SEAP!L27*(1+BAU!L29)</f>
        <v>0</v>
      </c>
      <c r="M51" s="421">
        <f>SUM_SEAP!M27*(1+BAU!M29)</f>
        <v>0</v>
      </c>
      <c r="N51" s="421">
        <f>SUM_SEAP!N27*(1+BAU!N29)</f>
        <v>0</v>
      </c>
      <c r="O51" s="421">
        <f>SUM_SEAP!O27*(1+BAU!O29)</f>
        <v>0</v>
      </c>
      <c r="P51" s="421">
        <f>SUM_SEAP!P27*(1+BAU!P29)</f>
        <v>0</v>
      </c>
      <c r="Q51" s="421">
        <f>SUM_SEAP!Q27*(1+BAU!Q29)</f>
        <v>0</v>
      </c>
      <c r="R51" s="421">
        <f>SUM_SEAP!R27*(1+BAU!R29)</f>
        <v>0</v>
      </c>
      <c r="S51" s="424">
        <f>SUM(D51:R51)</f>
        <v>15492.882886904761</v>
      </c>
      <c r="T51" s="250"/>
      <c r="U51" s="395"/>
      <c r="V51" s="395"/>
      <c r="W51" s="395"/>
      <c r="X51" s="396"/>
      <c r="Y51" s="396"/>
      <c r="Z51" s="416"/>
      <c r="AA51" s="393"/>
      <c r="AB51" s="553"/>
      <c r="AC51" s="416"/>
      <c r="AD51" s="416"/>
      <c r="AE51" s="416"/>
      <c r="AF51" s="416"/>
      <c r="AG51" s="417"/>
      <c r="AH51" s="417"/>
    </row>
    <row r="52" spans="1:34" ht="15.75" customHeight="1" thickBot="1">
      <c r="A52" s="250"/>
      <c r="B52" s="559" t="s">
        <v>259</v>
      </c>
      <c r="C52" s="560"/>
      <c r="D52" s="430">
        <f>D44+D49+D51</f>
        <v>2492008.9111111113</v>
      </c>
      <c r="E52" s="430">
        <f t="shared" ref="E52:R52" si="11">E44+E49+E51</f>
        <v>2151849.6677927929</v>
      </c>
      <c r="F52" s="430">
        <f t="shared" si="11"/>
        <v>1865958.3632456136</v>
      </c>
      <c r="G52" s="430">
        <f t="shared" si="11"/>
        <v>274362.55772071361</v>
      </c>
      <c r="H52" s="430">
        <f t="shared" si="11"/>
        <v>33862.439782842266</v>
      </c>
      <c r="I52" s="430">
        <f t="shared" si="11"/>
        <v>2182306.6463140273</v>
      </c>
      <c r="J52" s="430">
        <f t="shared" si="11"/>
        <v>1724805.720544643</v>
      </c>
      <c r="K52" s="430">
        <f t="shared" si="11"/>
        <v>0</v>
      </c>
      <c r="L52" s="430">
        <f t="shared" si="11"/>
        <v>572931.94495412835</v>
      </c>
      <c r="M52" s="430">
        <f t="shared" si="11"/>
        <v>90765.4586595</v>
      </c>
      <c r="N52" s="430">
        <f t="shared" si="11"/>
        <v>485.51665927536226</v>
      </c>
      <c r="O52" s="430">
        <f t="shared" si="11"/>
        <v>13320.989941304346</v>
      </c>
      <c r="P52" s="430">
        <f t="shared" si="11"/>
        <v>513788.78042335593</v>
      </c>
      <c r="Q52" s="430">
        <f t="shared" si="11"/>
        <v>7243.425000000002</v>
      </c>
      <c r="R52" s="430">
        <f t="shared" si="11"/>
        <v>0</v>
      </c>
      <c r="S52" s="430">
        <f>S44+S49+S51</f>
        <v>11923690.422149308</v>
      </c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</row>
    <row r="53" spans="1:34">
      <c r="A53" s="250"/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</row>
    <row r="54" spans="1:34" ht="16.5" customHeight="1">
      <c r="A54" s="250"/>
      <c r="B54" s="273"/>
      <c r="C54" s="273"/>
      <c r="D54" s="274"/>
      <c r="E54" s="274"/>
      <c r="F54" s="274"/>
      <c r="G54" s="274"/>
      <c r="H54" s="255"/>
      <c r="I54" s="255"/>
      <c r="J54" s="262"/>
      <c r="K54" s="262"/>
      <c r="L54" s="255"/>
      <c r="M54" s="255"/>
      <c r="N54" s="255"/>
      <c r="O54" s="255"/>
      <c r="P54" s="255"/>
      <c r="Q54" s="255"/>
      <c r="R54" s="255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</row>
    <row r="55" spans="1:34" ht="32.25" customHeight="1" thickBot="1">
      <c r="A55" s="250"/>
      <c r="B55" s="561" t="s">
        <v>328</v>
      </c>
      <c r="C55" s="561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61"/>
      <c r="S55" s="561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</row>
    <row r="56" spans="1:34" ht="15" customHeight="1">
      <c r="A56" s="250"/>
      <c r="B56" s="544" t="s">
        <v>2</v>
      </c>
      <c r="C56" s="545"/>
      <c r="D56" s="548" t="s">
        <v>233</v>
      </c>
      <c r="E56" s="549"/>
      <c r="F56" s="549"/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</row>
    <row r="57" spans="1:34" ht="14.25" customHeight="1">
      <c r="A57" s="250"/>
      <c r="B57" s="546"/>
      <c r="C57" s="547"/>
      <c r="D57" s="551" t="s">
        <v>77</v>
      </c>
      <c r="E57" s="551" t="s">
        <v>234</v>
      </c>
      <c r="F57" s="551" t="s">
        <v>235</v>
      </c>
      <c r="G57" s="551"/>
      <c r="H57" s="551"/>
      <c r="I57" s="551"/>
      <c r="J57" s="551"/>
      <c r="K57" s="551"/>
      <c r="L57" s="551"/>
      <c r="M57" s="551"/>
      <c r="N57" s="551" t="s">
        <v>236</v>
      </c>
      <c r="O57" s="551"/>
      <c r="P57" s="551"/>
      <c r="Q57" s="551"/>
      <c r="R57" s="551"/>
      <c r="S57" s="563" t="s">
        <v>237</v>
      </c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</row>
    <row r="58" spans="1:34" ht="26.25" thickBot="1">
      <c r="A58" s="250"/>
      <c r="B58" s="546"/>
      <c r="C58" s="547"/>
      <c r="D58" s="552"/>
      <c r="E58" s="552"/>
      <c r="F58" s="278" t="s">
        <v>80</v>
      </c>
      <c r="G58" s="278" t="s">
        <v>238</v>
      </c>
      <c r="H58" s="278" t="s">
        <v>82</v>
      </c>
      <c r="I58" s="278" t="s">
        <v>84</v>
      </c>
      <c r="J58" s="278" t="s">
        <v>85</v>
      </c>
      <c r="K58" s="278" t="s">
        <v>239</v>
      </c>
      <c r="L58" s="278" t="s">
        <v>86</v>
      </c>
      <c r="M58" s="278" t="s">
        <v>240</v>
      </c>
      <c r="N58" s="278" t="s">
        <v>241</v>
      </c>
      <c r="O58" s="278" t="s">
        <v>242</v>
      </c>
      <c r="P58" s="278" t="s">
        <v>243</v>
      </c>
      <c r="Q58" s="278" t="s">
        <v>244</v>
      </c>
      <c r="R58" s="278" t="s">
        <v>245</v>
      </c>
      <c r="S58" s="564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</row>
    <row r="59" spans="1:34" ht="15" customHeight="1">
      <c r="A59" s="250"/>
      <c r="B59" s="279" t="s">
        <v>246</v>
      </c>
      <c r="C59" s="280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2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</row>
    <row r="60" spans="1:34" ht="14.25" customHeight="1">
      <c r="A60" s="250"/>
      <c r="B60" s="283" t="s">
        <v>247</v>
      </c>
      <c r="C60" s="284"/>
      <c r="D60" s="285">
        <f>IFERROR((D37/$S37)*$S60,)</f>
        <v>47012.768702429632</v>
      </c>
      <c r="E60" s="285">
        <f t="shared" ref="E60:R60" si="12">IFERROR((E37/$S37)*$S60,)</f>
        <v>149453.75486335665</v>
      </c>
      <c r="F60" s="285">
        <f t="shared" si="12"/>
        <v>85242.49448625237</v>
      </c>
      <c r="G60" s="285">
        <f t="shared" si="12"/>
        <v>58.230016816633643</v>
      </c>
      <c r="H60" s="285">
        <f t="shared" si="12"/>
        <v>2382.3254398537624</v>
      </c>
      <c r="I60" s="285">
        <f t="shared" si="12"/>
        <v>0</v>
      </c>
      <c r="J60" s="285">
        <f t="shared" si="12"/>
        <v>0</v>
      </c>
      <c r="K60" s="285">
        <f t="shared" si="12"/>
        <v>0</v>
      </c>
      <c r="L60" s="285">
        <f t="shared" si="12"/>
        <v>0</v>
      </c>
      <c r="M60" s="285">
        <f t="shared" si="12"/>
        <v>350.93609642066843</v>
      </c>
      <c r="N60" s="285">
        <f t="shared" si="12"/>
        <v>0</v>
      </c>
      <c r="O60" s="285">
        <f t="shared" si="12"/>
        <v>12014.739919314703</v>
      </c>
      <c r="P60" s="285">
        <f t="shared" si="12"/>
        <v>0</v>
      </c>
      <c r="Q60" s="285">
        <f t="shared" si="12"/>
        <v>0</v>
      </c>
      <c r="R60" s="285">
        <f t="shared" si="12"/>
        <v>0</v>
      </c>
      <c r="S60" s="286">
        <f>SUM_SEAP!S13*(BAU!S15+1)</f>
        <v>296515.2495244444</v>
      </c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</row>
    <row r="61" spans="1:34" ht="14.25" customHeight="1">
      <c r="A61" s="250"/>
      <c r="B61" s="287" t="s">
        <v>248</v>
      </c>
      <c r="C61" s="288"/>
      <c r="D61" s="285">
        <f t="shared" ref="D61:R61" si="13">IFERROR((D38/$S38)*$S61,)</f>
        <v>1072808.4120055325</v>
      </c>
      <c r="E61" s="285">
        <f t="shared" si="13"/>
        <v>517761.54711021378</v>
      </c>
      <c r="F61" s="285">
        <f t="shared" si="13"/>
        <v>242045.30879428363</v>
      </c>
      <c r="G61" s="285">
        <f t="shared" si="13"/>
        <v>1916.0710310505569</v>
      </c>
      <c r="H61" s="285">
        <f t="shared" si="13"/>
        <v>25744.822100606711</v>
      </c>
      <c r="I61" s="285">
        <f t="shared" si="13"/>
        <v>0</v>
      </c>
      <c r="J61" s="285">
        <f t="shared" si="13"/>
        <v>0</v>
      </c>
      <c r="K61" s="285">
        <f t="shared" si="13"/>
        <v>0</v>
      </c>
      <c r="L61" s="285">
        <f t="shared" si="13"/>
        <v>0</v>
      </c>
      <c r="M61" s="285">
        <f t="shared" si="13"/>
        <v>28644.204055294471</v>
      </c>
      <c r="N61" s="285">
        <f t="shared" si="13"/>
        <v>0</v>
      </c>
      <c r="O61" s="285">
        <f t="shared" si="13"/>
        <v>0</v>
      </c>
      <c r="P61" s="285">
        <f t="shared" si="13"/>
        <v>0</v>
      </c>
      <c r="Q61" s="285">
        <f t="shared" si="13"/>
        <v>0</v>
      </c>
      <c r="R61" s="285">
        <f t="shared" si="13"/>
        <v>0</v>
      </c>
      <c r="S61" s="286">
        <f>SUM_SEAP!S14*(BAU!S16+1)</f>
        <v>1888920.3650969814</v>
      </c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</row>
    <row r="62" spans="1:34" ht="15" customHeight="1">
      <c r="A62" s="250"/>
      <c r="B62" s="287" t="s">
        <v>0</v>
      </c>
      <c r="C62" s="288"/>
      <c r="D62" s="285">
        <f t="shared" ref="D62:R62" si="14">IFERROR((D39/$S39)*$S62,)</f>
        <v>582122.84470667643</v>
      </c>
      <c r="E62" s="285">
        <f t="shared" si="14"/>
        <v>1279324.9854117138</v>
      </c>
      <c r="F62" s="285">
        <f t="shared" si="14"/>
        <v>1044030.9875160084</v>
      </c>
      <c r="G62" s="285">
        <f t="shared" si="14"/>
        <v>26333.005364763103</v>
      </c>
      <c r="H62" s="285">
        <f t="shared" si="14"/>
        <v>2870.364842750882</v>
      </c>
      <c r="I62" s="285">
        <f t="shared" si="14"/>
        <v>0</v>
      </c>
      <c r="J62" s="285">
        <f t="shared" si="14"/>
        <v>0</v>
      </c>
      <c r="K62" s="285">
        <f t="shared" si="14"/>
        <v>0</v>
      </c>
      <c r="L62" s="285">
        <f t="shared" si="14"/>
        <v>531720.89487876673</v>
      </c>
      <c r="M62" s="285">
        <f t="shared" si="14"/>
        <v>0</v>
      </c>
      <c r="N62" s="285">
        <f t="shared" si="14"/>
        <v>0</v>
      </c>
      <c r="O62" s="285">
        <f t="shared" si="14"/>
        <v>0</v>
      </c>
      <c r="P62" s="285">
        <f t="shared" si="14"/>
        <v>476831.90387865365</v>
      </c>
      <c r="Q62" s="285">
        <f t="shared" si="14"/>
        <v>6722.4047409253817</v>
      </c>
      <c r="R62" s="285">
        <f t="shared" si="14"/>
        <v>0</v>
      </c>
      <c r="S62" s="286">
        <f>SUM_SEAP!S15*(BAU!S17+1)</f>
        <v>3949957.391340259</v>
      </c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</row>
    <row r="63" spans="1:34" ht="15" customHeight="1">
      <c r="A63" s="250"/>
      <c r="B63" s="287" t="s">
        <v>42</v>
      </c>
      <c r="C63" s="288"/>
      <c r="D63" s="285">
        <f t="shared" ref="D63:R63" si="15">IFERROR((D40/$S40)*$S63,)</f>
        <v>33308.759496150269</v>
      </c>
      <c r="E63" s="285">
        <f t="shared" si="15"/>
        <v>0</v>
      </c>
      <c r="F63" s="285">
        <f t="shared" si="15"/>
        <v>485.24050384972963</v>
      </c>
      <c r="G63" s="285">
        <f t="shared" si="15"/>
        <v>0</v>
      </c>
      <c r="H63" s="285">
        <f t="shared" si="15"/>
        <v>0</v>
      </c>
      <c r="I63" s="285">
        <f t="shared" si="15"/>
        <v>0</v>
      </c>
      <c r="J63" s="285">
        <f t="shared" si="15"/>
        <v>0</v>
      </c>
      <c r="K63" s="285">
        <f t="shared" si="15"/>
        <v>0</v>
      </c>
      <c r="L63" s="285">
        <f t="shared" si="15"/>
        <v>0</v>
      </c>
      <c r="M63" s="285">
        <f t="shared" si="15"/>
        <v>0</v>
      </c>
      <c r="N63" s="285">
        <f t="shared" si="15"/>
        <v>0</v>
      </c>
      <c r="O63" s="285">
        <f t="shared" si="15"/>
        <v>0</v>
      </c>
      <c r="P63" s="285">
        <f t="shared" si="15"/>
        <v>0</v>
      </c>
      <c r="Q63" s="285">
        <f t="shared" si="15"/>
        <v>0</v>
      </c>
      <c r="R63" s="285">
        <f t="shared" si="15"/>
        <v>0</v>
      </c>
      <c r="S63" s="286">
        <f>SUM_SEAP!S16*(BAU!S18+1)</f>
        <v>33794</v>
      </c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</row>
    <row r="64" spans="1:34" ht="15" customHeight="1">
      <c r="A64" s="250"/>
      <c r="B64" s="554" t="s">
        <v>11</v>
      </c>
      <c r="C64" s="368" t="s">
        <v>249</v>
      </c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</row>
    <row r="65" spans="1:33" ht="18.75" customHeight="1">
      <c r="A65" s="250"/>
      <c r="B65" s="555"/>
      <c r="C65" s="369" t="s">
        <v>250</v>
      </c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</row>
    <row r="66" spans="1:33" ht="18.75" customHeight="1">
      <c r="A66" s="250"/>
      <c r="B66" s="556"/>
      <c r="C66" s="290" t="s">
        <v>237</v>
      </c>
      <c r="D66" s="285">
        <f t="shared" ref="D66:R66" si="16">IFERROR((D43/$S43)*$S66,)</f>
        <v>648406.63239757472</v>
      </c>
      <c r="E66" s="285">
        <f t="shared" si="16"/>
        <v>112122.57106537101</v>
      </c>
      <c r="F66" s="285">
        <f t="shared" si="16"/>
        <v>399135.40553948184</v>
      </c>
      <c r="G66" s="285">
        <f t="shared" si="16"/>
        <v>1.0183974856861029</v>
      </c>
      <c r="H66" s="285">
        <f t="shared" si="16"/>
        <v>3528.7472879023467</v>
      </c>
      <c r="I66" s="285">
        <f t="shared" si="16"/>
        <v>0</v>
      </c>
      <c r="J66" s="285">
        <f t="shared" si="16"/>
        <v>0</v>
      </c>
      <c r="K66" s="285">
        <f t="shared" si="16"/>
        <v>0</v>
      </c>
      <c r="L66" s="285">
        <f t="shared" si="16"/>
        <v>0</v>
      </c>
      <c r="M66" s="285">
        <f t="shared" si="16"/>
        <v>61642.068383002268</v>
      </c>
      <c r="N66" s="285">
        <f t="shared" si="16"/>
        <v>0</v>
      </c>
      <c r="O66" s="285">
        <f t="shared" si="16"/>
        <v>0</v>
      </c>
      <c r="P66" s="285">
        <f t="shared" si="16"/>
        <v>0</v>
      </c>
      <c r="Q66" s="285">
        <f t="shared" si="16"/>
        <v>0</v>
      </c>
      <c r="R66" s="285">
        <f t="shared" si="16"/>
        <v>0</v>
      </c>
      <c r="S66" s="292">
        <f>SUM_SEAP!S19*(BAU!S21+1)</f>
        <v>1224836.443070818</v>
      </c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</row>
    <row r="67" spans="1:33" ht="15" customHeight="1" thickBot="1">
      <c r="A67" s="250"/>
      <c r="B67" s="293" t="s">
        <v>251</v>
      </c>
      <c r="C67" s="294"/>
      <c r="D67" s="295">
        <f>SUM(D60:D63,D66)</f>
        <v>2383659.4173083636</v>
      </c>
      <c r="E67" s="295">
        <f t="shared" ref="E67:Q67" si="17">SUM(E60:E63,E66)</f>
        <v>2058662.8584506551</v>
      </c>
      <c r="F67" s="295">
        <f t="shared" si="17"/>
        <v>1770939.436839876</v>
      </c>
      <c r="G67" s="295">
        <f t="shared" si="17"/>
        <v>28308.324810115977</v>
      </c>
      <c r="H67" s="295">
        <f t="shared" si="17"/>
        <v>34526.259671113701</v>
      </c>
      <c r="I67" s="295">
        <f t="shared" si="17"/>
        <v>0</v>
      </c>
      <c r="J67" s="295">
        <f t="shared" si="17"/>
        <v>0</v>
      </c>
      <c r="K67" s="295">
        <f t="shared" si="17"/>
        <v>0</v>
      </c>
      <c r="L67" s="295">
        <f t="shared" si="17"/>
        <v>531720.89487876673</v>
      </c>
      <c r="M67" s="295">
        <f t="shared" si="17"/>
        <v>90637.208534717414</v>
      </c>
      <c r="N67" s="295">
        <f t="shared" si="17"/>
        <v>0</v>
      </c>
      <c r="O67" s="295">
        <f t="shared" si="17"/>
        <v>12014.739919314703</v>
      </c>
      <c r="P67" s="295">
        <f t="shared" si="17"/>
        <v>476831.90387865365</v>
      </c>
      <c r="Q67" s="295">
        <f t="shared" si="17"/>
        <v>6722.4047409253817</v>
      </c>
      <c r="R67" s="295">
        <f>SUM(R60:R63,R66)</f>
        <v>0</v>
      </c>
      <c r="S67" s="296">
        <f>SUM(S60:S66)</f>
        <v>7394023.4490325022</v>
      </c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</row>
    <row r="68" spans="1:33" ht="15" customHeight="1">
      <c r="A68" s="250"/>
      <c r="B68" s="297" t="s">
        <v>252</v>
      </c>
      <c r="C68" s="298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299"/>
      <c r="P68" s="299"/>
      <c r="Q68" s="299"/>
      <c r="R68" s="299"/>
      <c r="S68" s="30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</row>
    <row r="69" spans="1:33" ht="15" customHeight="1">
      <c r="A69" s="250"/>
      <c r="B69" s="287" t="s">
        <v>253</v>
      </c>
      <c r="C69" s="301"/>
      <c r="D69" s="285">
        <f t="shared" ref="D69:R69" si="18">IFERROR((D46/$S46)*$S69,)</f>
        <v>0</v>
      </c>
      <c r="E69" s="285">
        <f t="shared" si="18"/>
        <v>0</v>
      </c>
      <c r="F69" s="285">
        <f t="shared" si="18"/>
        <v>0</v>
      </c>
      <c r="G69" s="285">
        <f t="shared" si="18"/>
        <v>0</v>
      </c>
      <c r="H69" s="285">
        <f t="shared" si="18"/>
        <v>0</v>
      </c>
      <c r="I69" s="285">
        <f t="shared" si="18"/>
        <v>9.740222916666666E-3</v>
      </c>
      <c r="J69" s="285">
        <f t="shared" si="18"/>
        <v>17.611999999999995</v>
      </c>
      <c r="K69" s="285">
        <f t="shared" si="18"/>
        <v>0</v>
      </c>
      <c r="L69" s="285">
        <f t="shared" si="18"/>
        <v>0</v>
      </c>
      <c r="M69" s="285">
        <f t="shared" si="18"/>
        <v>0</v>
      </c>
      <c r="N69" s="285">
        <f t="shared" si="18"/>
        <v>0</v>
      </c>
      <c r="O69" s="285">
        <f t="shared" si="18"/>
        <v>0</v>
      </c>
      <c r="P69" s="285">
        <f t="shared" si="18"/>
        <v>0</v>
      </c>
      <c r="Q69" s="285">
        <f t="shared" si="18"/>
        <v>0</v>
      </c>
      <c r="R69" s="285">
        <f t="shared" si="18"/>
        <v>0</v>
      </c>
      <c r="S69" s="289">
        <f>SUM_SEAP!S22*(BAU!S24+1)</f>
        <v>17.621740222916664</v>
      </c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</row>
    <row r="70" spans="1:33" ht="15" customHeight="1">
      <c r="A70" s="250"/>
      <c r="B70" s="287" t="s">
        <v>254</v>
      </c>
      <c r="C70" s="301"/>
      <c r="D70" s="285">
        <f t="shared" ref="D70:R70" si="19">IFERROR((D47/$S47)*$S70,)</f>
        <v>71767.435726585391</v>
      </c>
      <c r="E70" s="285">
        <f t="shared" si="19"/>
        <v>0</v>
      </c>
      <c r="F70" s="285">
        <f t="shared" si="19"/>
        <v>0</v>
      </c>
      <c r="G70" s="285">
        <f t="shared" si="19"/>
        <v>0</v>
      </c>
      <c r="H70" s="285">
        <f t="shared" si="19"/>
        <v>0</v>
      </c>
      <c r="I70" s="285">
        <f t="shared" si="19"/>
        <v>121382.02878954362</v>
      </c>
      <c r="J70" s="285">
        <f t="shared" si="19"/>
        <v>0</v>
      </c>
      <c r="K70" s="285">
        <f t="shared" si="19"/>
        <v>0</v>
      </c>
      <c r="L70" s="285">
        <f t="shared" si="19"/>
        <v>0</v>
      </c>
      <c r="M70" s="285">
        <f t="shared" si="19"/>
        <v>0</v>
      </c>
      <c r="N70" s="285">
        <f t="shared" si="19"/>
        <v>0</v>
      </c>
      <c r="O70" s="285">
        <f t="shared" si="19"/>
        <v>0</v>
      </c>
      <c r="P70" s="285">
        <f t="shared" si="19"/>
        <v>0</v>
      </c>
      <c r="Q70" s="285">
        <f t="shared" si="19"/>
        <v>0</v>
      </c>
      <c r="R70" s="285">
        <f t="shared" si="19"/>
        <v>0</v>
      </c>
      <c r="S70" s="289">
        <f>SUM_SEAP!S23*(BAU!S25+1)</f>
        <v>193149.464516129</v>
      </c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</row>
    <row r="71" spans="1:33" ht="15" customHeight="1">
      <c r="A71" s="250"/>
      <c r="B71" s="287" t="s">
        <v>255</v>
      </c>
      <c r="C71" s="301"/>
      <c r="D71" s="285">
        <f t="shared" ref="D71:R71" si="20">IFERROR((D48/$S48)*$S71,)</f>
        <v>21413.988584749175</v>
      </c>
      <c r="E71" s="285">
        <f t="shared" si="20"/>
        <v>0</v>
      </c>
      <c r="F71" s="285">
        <f t="shared" si="20"/>
        <v>3040.7291979423831</v>
      </c>
      <c r="G71" s="285">
        <f t="shared" si="20"/>
        <v>258237.29021444049</v>
      </c>
      <c r="H71" s="285">
        <f t="shared" si="20"/>
        <v>0</v>
      </c>
      <c r="I71" s="285">
        <f t="shared" si="20"/>
        <v>2172069.5376229542</v>
      </c>
      <c r="J71" s="285">
        <f t="shared" si="20"/>
        <v>1824693.6404825454</v>
      </c>
      <c r="K71" s="285">
        <f t="shared" si="20"/>
        <v>0</v>
      </c>
      <c r="L71" s="285">
        <f t="shared" si="20"/>
        <v>0</v>
      </c>
      <c r="M71" s="285">
        <f t="shared" si="20"/>
        <v>0</v>
      </c>
      <c r="N71" s="285">
        <f t="shared" si="20"/>
        <v>513.639640600446</v>
      </c>
      <c r="O71" s="285">
        <f t="shared" si="20"/>
        <v>19.161065696625105</v>
      </c>
      <c r="P71" s="285">
        <f t="shared" si="20"/>
        <v>0</v>
      </c>
      <c r="Q71" s="285">
        <f t="shared" si="20"/>
        <v>0</v>
      </c>
      <c r="R71" s="285">
        <f t="shared" si="20"/>
        <v>0</v>
      </c>
      <c r="S71" s="289">
        <f>SUM_SEAP!S24*(BAU!S26+1)</f>
        <v>4279987.9868089287</v>
      </c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</row>
    <row r="72" spans="1:33" ht="15" customHeight="1" thickBot="1">
      <c r="A72" s="250"/>
      <c r="B72" s="557" t="s">
        <v>256</v>
      </c>
      <c r="C72" s="558"/>
      <c r="D72" s="295">
        <f>SUM(D69:D71)</f>
        <v>93181.424311334558</v>
      </c>
      <c r="E72" s="295">
        <f t="shared" ref="E72:Q72" si="21">SUM(E69:E71)</f>
        <v>0</v>
      </c>
      <c r="F72" s="295">
        <f t="shared" si="21"/>
        <v>3040.7291979423831</v>
      </c>
      <c r="G72" s="295">
        <f t="shared" si="21"/>
        <v>258237.29021444049</v>
      </c>
      <c r="H72" s="295">
        <f t="shared" si="21"/>
        <v>0</v>
      </c>
      <c r="I72" s="295">
        <f t="shared" si="21"/>
        <v>2293451.576152721</v>
      </c>
      <c r="J72" s="295">
        <f t="shared" si="21"/>
        <v>1824711.2524825453</v>
      </c>
      <c r="K72" s="295">
        <f t="shared" si="21"/>
        <v>0</v>
      </c>
      <c r="L72" s="295">
        <f t="shared" si="21"/>
        <v>0</v>
      </c>
      <c r="M72" s="295">
        <f t="shared" si="21"/>
        <v>0</v>
      </c>
      <c r="N72" s="295">
        <f t="shared" si="21"/>
        <v>513.639640600446</v>
      </c>
      <c r="O72" s="295">
        <f t="shared" si="21"/>
        <v>19.161065696625105</v>
      </c>
      <c r="P72" s="295">
        <f t="shared" si="21"/>
        <v>0</v>
      </c>
      <c r="Q72" s="295">
        <f t="shared" si="21"/>
        <v>0</v>
      </c>
      <c r="R72" s="295">
        <f>SUM(R69:R71)</f>
        <v>0</v>
      </c>
      <c r="S72" s="296">
        <f>SUM(S69:S71)</f>
        <v>4473155.0730652809</v>
      </c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</row>
    <row r="73" spans="1:33">
      <c r="A73" s="250"/>
      <c r="B73" s="302" t="s">
        <v>257</v>
      </c>
      <c r="C73" s="298"/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303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</row>
    <row r="74" spans="1:33" ht="15" customHeight="1">
      <c r="A74" s="250"/>
      <c r="B74" s="287" t="s">
        <v>258</v>
      </c>
      <c r="C74" s="301"/>
      <c r="D74" s="285">
        <f>IFERROR((D51/$S51)*$S74,)</f>
        <v>0</v>
      </c>
      <c r="E74" s="285">
        <f t="shared" ref="E74:R74" si="22">IFERROR((E51/$S51)*$S74,)</f>
        <v>0</v>
      </c>
      <c r="F74" s="285">
        <f t="shared" si="22"/>
        <v>3966.0727663384851</v>
      </c>
      <c r="G74" s="285">
        <f t="shared" si="22"/>
        <v>0</v>
      </c>
      <c r="H74" s="285">
        <f t="shared" si="22"/>
        <v>0</v>
      </c>
      <c r="I74" s="285">
        <f t="shared" si="22"/>
        <v>10898.432496819411</v>
      </c>
      <c r="J74" s="285">
        <f t="shared" si="22"/>
        <v>0</v>
      </c>
      <c r="K74" s="285">
        <f t="shared" si="22"/>
        <v>0</v>
      </c>
      <c r="L74" s="285">
        <f t="shared" si="22"/>
        <v>0</v>
      </c>
      <c r="M74" s="285">
        <f t="shared" si="22"/>
        <v>0</v>
      </c>
      <c r="N74" s="285">
        <f t="shared" si="22"/>
        <v>0</v>
      </c>
      <c r="O74" s="285">
        <f t="shared" si="22"/>
        <v>0</v>
      </c>
      <c r="P74" s="285">
        <f t="shared" si="22"/>
        <v>0</v>
      </c>
      <c r="Q74" s="285">
        <f t="shared" si="22"/>
        <v>0</v>
      </c>
      <c r="R74" s="285">
        <f t="shared" si="22"/>
        <v>0</v>
      </c>
      <c r="S74" s="289">
        <f>SUM_SEAP!S27*(BAU!S29+1)</f>
        <v>14864.505263157895</v>
      </c>
      <c r="T74" s="250"/>
      <c r="U74" s="250" t="s">
        <v>338</v>
      </c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</row>
    <row r="75" spans="1:33" ht="15.75" customHeight="1" thickBot="1">
      <c r="A75" s="250"/>
      <c r="B75" s="592" t="s">
        <v>259</v>
      </c>
      <c r="C75" s="593"/>
      <c r="D75" s="432">
        <f>D67+D72+D74</f>
        <v>2476840.8416196983</v>
      </c>
      <c r="E75" s="432">
        <f t="shared" ref="E75:R75" si="23">E67+E72+E74</f>
        <v>2058662.8584506551</v>
      </c>
      <c r="F75" s="432">
        <f t="shared" si="23"/>
        <v>1777946.2388041569</v>
      </c>
      <c r="G75" s="432">
        <f t="shared" si="23"/>
        <v>286545.61502455646</v>
      </c>
      <c r="H75" s="432">
        <f t="shared" si="23"/>
        <v>34526.259671113701</v>
      </c>
      <c r="I75" s="432">
        <f t="shared" si="23"/>
        <v>2304350.0086495401</v>
      </c>
      <c r="J75" s="432">
        <f t="shared" si="23"/>
        <v>1824711.2524825453</v>
      </c>
      <c r="K75" s="432">
        <f t="shared" si="23"/>
        <v>0</v>
      </c>
      <c r="L75" s="432">
        <f t="shared" si="23"/>
        <v>531720.89487876673</v>
      </c>
      <c r="M75" s="432">
        <f t="shared" si="23"/>
        <v>90637.208534717414</v>
      </c>
      <c r="N75" s="432">
        <f t="shared" si="23"/>
        <v>513.639640600446</v>
      </c>
      <c r="O75" s="432">
        <f t="shared" si="23"/>
        <v>12033.900985011329</v>
      </c>
      <c r="P75" s="432">
        <f t="shared" si="23"/>
        <v>476831.90387865365</v>
      </c>
      <c r="Q75" s="432">
        <f t="shared" si="23"/>
        <v>6722.4047409253817</v>
      </c>
      <c r="R75" s="432">
        <f t="shared" si="23"/>
        <v>0</v>
      </c>
      <c r="S75" s="432">
        <f>S67+S72+S74</f>
        <v>11882043.02736094</v>
      </c>
      <c r="T75" s="250"/>
      <c r="U75" s="250" t="s">
        <v>339</v>
      </c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</row>
    <row r="76" spans="1:33" ht="13.5" thickBot="1">
      <c r="A76" s="250"/>
      <c r="B76" s="435" t="s">
        <v>337</v>
      </c>
      <c r="C76" s="436">
        <f>SUM_SEAP!E2</f>
        <v>2015</v>
      </c>
      <c r="D76" s="433">
        <f>IFERROR(D75/SUM_SEAP!D28,)</f>
        <v>1.1153916107522637</v>
      </c>
      <c r="E76" s="433">
        <f>IFERROR(E75/SUM_SEAP!E28,)</f>
        <v>1.0665851447899148</v>
      </c>
      <c r="F76" s="433">
        <f>IFERROR(F75/SUM_SEAP!F28,)</f>
        <v>1.0330712974656533</v>
      </c>
      <c r="G76" s="433">
        <f>IFERROR(G75/SUM_SEAP!G28,)</f>
        <v>1.0886989161882872</v>
      </c>
      <c r="H76" s="433">
        <f>IFERROR(H75/SUM_SEAP!H28,)</f>
        <v>1.0628455373028292</v>
      </c>
      <c r="I76" s="433">
        <f>IFERROR(I75/SUM_SEAP!I28,)</f>
        <v>1.1007065127798761</v>
      </c>
      <c r="J76" s="433">
        <f>IFERROR(J75/SUM_SEAP!J28,)</f>
        <v>1.102790034500166</v>
      </c>
      <c r="K76" s="433">
        <f>IFERROR(K75/SUM_SEAP!K28,)</f>
        <v>0</v>
      </c>
      <c r="L76" s="433">
        <f>IFERROR(L75/SUM_SEAP!L28,)</f>
        <v>0.90252669516906092</v>
      </c>
      <c r="M76" s="433">
        <f>IFERROR(M75/SUM_SEAP!M28,)</f>
        <v>0.96014141605408443</v>
      </c>
      <c r="N76" s="433">
        <f>IFERROR(N75/SUM_SEAP!N28,)</f>
        <v>1.2074130595396144</v>
      </c>
      <c r="O76" s="433">
        <f>IFERROR(O75/SUM_SEAP!O28,)</f>
        <v>1.0310302444502288</v>
      </c>
      <c r="P76" s="433">
        <f>IFERROR(P75/SUM_SEAP!P28,)</f>
        <v>1.0592102159772256</v>
      </c>
      <c r="Q76" s="433">
        <f>IFERROR(Q75/SUM_SEAP!Q28,)</f>
        <v>1.0592102159772256</v>
      </c>
      <c r="R76" s="433">
        <f>IFERROR(R75/SUM_SEAP!R28,)</f>
        <v>0</v>
      </c>
      <c r="S76" s="434">
        <f>IFERROR(S75/SUM_SEAP!S28,)</f>
        <v>1.0735707423469489</v>
      </c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</row>
    <row r="77" spans="1:33" ht="15.75" hidden="1">
      <c r="A77" s="250"/>
      <c r="B77" s="306" t="s">
        <v>260</v>
      </c>
      <c r="C77" s="307"/>
      <c r="D77" s="307"/>
      <c r="E77" s="253"/>
      <c r="F77" s="253"/>
      <c r="G77" s="253"/>
      <c r="H77" s="253"/>
      <c r="I77" s="253"/>
      <c r="J77" s="253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</row>
    <row r="78" spans="1:33" ht="55.5" hidden="1" customHeight="1">
      <c r="A78" s="250"/>
      <c r="B78" s="319" t="s">
        <v>261</v>
      </c>
      <c r="C78" s="354" t="s">
        <v>262</v>
      </c>
      <c r="D78" s="354" t="s">
        <v>263</v>
      </c>
      <c r="E78" s="355" t="s">
        <v>264</v>
      </c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</row>
    <row r="79" spans="1:33" hidden="1">
      <c r="A79" s="250"/>
      <c r="B79" s="311" t="s">
        <v>265</v>
      </c>
      <c r="C79" s="312"/>
      <c r="D79" s="313"/>
      <c r="E79" s="314">
        <f>C79*D79</f>
        <v>0</v>
      </c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</row>
    <row r="80" spans="1:33" ht="15" hidden="1" customHeight="1">
      <c r="A80" s="250"/>
      <c r="B80" s="311" t="s">
        <v>266</v>
      </c>
      <c r="C80" s="312"/>
      <c r="D80" s="313"/>
      <c r="E80" s="314">
        <f>C80*D80</f>
        <v>0</v>
      </c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</row>
    <row r="81" spans="1:33" ht="15" hidden="1" customHeight="1">
      <c r="A81" s="250"/>
      <c r="B81" s="311" t="s">
        <v>267</v>
      </c>
      <c r="C81" s="312"/>
      <c r="D81" s="313"/>
      <c r="E81" s="314">
        <f>C81*D81</f>
        <v>0</v>
      </c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</row>
    <row r="82" spans="1:33" ht="15" hidden="1" customHeight="1">
      <c r="A82" s="250"/>
      <c r="B82" s="311" t="s">
        <v>268</v>
      </c>
      <c r="C82" s="312"/>
      <c r="D82" s="313"/>
      <c r="E82" s="314">
        <f>C82*D82</f>
        <v>0</v>
      </c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</row>
    <row r="83" spans="1:33" ht="13.5" hidden="1" thickBot="1">
      <c r="A83" s="250"/>
      <c r="B83" s="315" t="s">
        <v>259</v>
      </c>
      <c r="C83" s="316">
        <f>SUM(C79:C82)</f>
        <v>0</v>
      </c>
      <c r="D83" s="317"/>
      <c r="E83" s="318">
        <f>SUM(E79:E82)</f>
        <v>0</v>
      </c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</row>
    <row r="84" spans="1:33" hidden="1">
      <c r="A84" s="250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</row>
    <row r="85" spans="1:33" ht="15.75" hidden="1">
      <c r="A85" s="250"/>
      <c r="B85" s="306" t="s">
        <v>269</v>
      </c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</row>
    <row r="86" spans="1:33" ht="14.25" hidden="1" customHeight="1">
      <c r="A86" s="250"/>
      <c r="B86" s="576" t="s">
        <v>270</v>
      </c>
      <c r="C86" s="583" t="s">
        <v>271</v>
      </c>
      <c r="D86" s="584"/>
      <c r="E86" s="587" t="s">
        <v>272</v>
      </c>
      <c r="F86" s="571"/>
      <c r="G86" s="571"/>
      <c r="H86" s="571"/>
      <c r="I86" s="571"/>
      <c r="J86" s="571"/>
      <c r="K86" s="571"/>
      <c r="L86" s="571"/>
      <c r="M86" s="571"/>
      <c r="N86" s="588"/>
      <c r="O86" s="583" t="s">
        <v>264</v>
      </c>
      <c r="P86" s="584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</row>
    <row r="87" spans="1:33" ht="14.25" hidden="1" customHeight="1">
      <c r="A87" s="250"/>
      <c r="B87" s="577"/>
      <c r="C87" s="585"/>
      <c r="D87" s="586"/>
      <c r="E87" s="589" t="s">
        <v>235</v>
      </c>
      <c r="F87" s="590"/>
      <c r="G87" s="590"/>
      <c r="H87" s="590"/>
      <c r="I87" s="591"/>
      <c r="J87" s="578" t="s">
        <v>273</v>
      </c>
      <c r="K87" s="578" t="s">
        <v>241</v>
      </c>
      <c r="L87" s="578" t="s">
        <v>243</v>
      </c>
      <c r="M87" s="578" t="s">
        <v>274</v>
      </c>
      <c r="N87" s="578" t="s">
        <v>275</v>
      </c>
      <c r="O87" s="585"/>
      <c r="P87" s="586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</row>
    <row r="88" spans="1:33" ht="38.25" hidden="1" customHeight="1">
      <c r="A88" s="250"/>
      <c r="B88" s="577"/>
      <c r="C88" s="356" t="s">
        <v>237</v>
      </c>
      <c r="D88" s="356" t="s">
        <v>276</v>
      </c>
      <c r="E88" s="356" t="s">
        <v>80</v>
      </c>
      <c r="F88" s="356" t="s">
        <v>238</v>
      </c>
      <c r="G88" s="356" t="s">
        <v>82</v>
      </c>
      <c r="H88" s="356" t="s">
        <v>239</v>
      </c>
      <c r="I88" s="356" t="s">
        <v>86</v>
      </c>
      <c r="J88" s="579"/>
      <c r="K88" s="579"/>
      <c r="L88" s="579"/>
      <c r="M88" s="579"/>
      <c r="N88" s="579"/>
      <c r="O88" s="356" t="s">
        <v>277</v>
      </c>
      <c r="P88" s="356" t="s">
        <v>278</v>
      </c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</row>
    <row r="89" spans="1:33" hidden="1">
      <c r="A89" s="250"/>
      <c r="B89" s="321" t="s">
        <v>279</v>
      </c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</row>
    <row r="90" spans="1:33" hidden="1">
      <c r="A90" s="250"/>
      <c r="B90" s="321" t="s">
        <v>275</v>
      </c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</row>
    <row r="91" spans="1:33" ht="13.5" hidden="1" thickBot="1">
      <c r="A91" s="250"/>
      <c r="B91" s="315" t="s">
        <v>237</v>
      </c>
      <c r="C91" s="316">
        <f>SUM(C89:C90)</f>
        <v>0</v>
      </c>
      <c r="D91" s="316">
        <f t="shared" ref="D91:P91" si="24">SUM(D89:D90)</f>
        <v>0</v>
      </c>
      <c r="E91" s="316">
        <f t="shared" si="24"/>
        <v>0</v>
      </c>
      <c r="F91" s="316">
        <f t="shared" si="24"/>
        <v>0</v>
      </c>
      <c r="G91" s="316">
        <f t="shared" si="24"/>
        <v>0</v>
      </c>
      <c r="H91" s="316">
        <f t="shared" si="24"/>
        <v>0</v>
      </c>
      <c r="I91" s="316">
        <f t="shared" si="24"/>
        <v>0</v>
      </c>
      <c r="J91" s="316">
        <f t="shared" si="24"/>
        <v>0</v>
      </c>
      <c r="K91" s="316">
        <f t="shared" si="24"/>
        <v>0</v>
      </c>
      <c r="L91" s="316">
        <f t="shared" si="24"/>
        <v>0</v>
      </c>
      <c r="M91" s="316">
        <f t="shared" si="24"/>
        <v>0</v>
      </c>
      <c r="N91" s="316">
        <f t="shared" si="24"/>
        <v>0</v>
      </c>
      <c r="O91" s="316">
        <f t="shared" si="24"/>
        <v>0</v>
      </c>
      <c r="P91" s="316">
        <f t="shared" si="24"/>
        <v>0</v>
      </c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</row>
    <row r="92" spans="1:33" hidden="1">
      <c r="A92" s="250"/>
      <c r="B92" s="255"/>
      <c r="C92" s="255"/>
      <c r="D92" s="323"/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</row>
    <row r="93" spans="1:33" ht="15.75" hidden="1">
      <c r="A93" s="250"/>
      <c r="B93" s="306" t="s">
        <v>280</v>
      </c>
      <c r="C93" s="255"/>
      <c r="D93" s="32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R93" s="253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</row>
    <row r="94" spans="1:33" ht="14.25" hidden="1" customHeight="1">
      <c r="A94" s="250"/>
      <c r="B94" s="580" t="s">
        <v>281</v>
      </c>
      <c r="C94" s="583" t="s">
        <v>282</v>
      </c>
      <c r="D94" s="584"/>
      <c r="E94" s="587" t="s">
        <v>272</v>
      </c>
      <c r="F94" s="571"/>
      <c r="G94" s="571"/>
      <c r="H94" s="571"/>
      <c r="I94" s="571"/>
      <c r="J94" s="571"/>
      <c r="K94" s="571"/>
      <c r="L94" s="571"/>
      <c r="M94" s="571"/>
      <c r="N94" s="588"/>
      <c r="O94" s="583" t="s">
        <v>264</v>
      </c>
      <c r="P94" s="584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</row>
    <row r="95" spans="1:33" ht="14.25" hidden="1" customHeight="1">
      <c r="A95" s="250"/>
      <c r="B95" s="581"/>
      <c r="C95" s="585"/>
      <c r="D95" s="586"/>
      <c r="E95" s="589" t="s">
        <v>235</v>
      </c>
      <c r="F95" s="590"/>
      <c r="G95" s="590"/>
      <c r="H95" s="590"/>
      <c r="I95" s="591"/>
      <c r="J95" s="578" t="s">
        <v>273</v>
      </c>
      <c r="K95" s="578" t="s">
        <v>241</v>
      </c>
      <c r="L95" s="578" t="s">
        <v>243</v>
      </c>
      <c r="M95" s="578" t="s">
        <v>274</v>
      </c>
      <c r="N95" s="578" t="s">
        <v>275</v>
      </c>
      <c r="O95" s="585"/>
      <c r="P95" s="586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</row>
    <row r="96" spans="1:33" ht="35.25" hidden="1" customHeight="1">
      <c r="A96" s="250"/>
      <c r="B96" s="582"/>
      <c r="C96" s="356" t="s">
        <v>237</v>
      </c>
      <c r="D96" s="356" t="s">
        <v>276</v>
      </c>
      <c r="E96" s="356" t="s">
        <v>80</v>
      </c>
      <c r="F96" s="356" t="s">
        <v>238</v>
      </c>
      <c r="G96" s="356" t="s">
        <v>82</v>
      </c>
      <c r="H96" s="356" t="s">
        <v>239</v>
      </c>
      <c r="I96" s="356" t="s">
        <v>86</v>
      </c>
      <c r="J96" s="579"/>
      <c r="K96" s="579"/>
      <c r="L96" s="579"/>
      <c r="M96" s="579"/>
      <c r="N96" s="579"/>
      <c r="O96" s="356" t="s">
        <v>277</v>
      </c>
      <c r="P96" s="356" t="s">
        <v>278</v>
      </c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</row>
    <row r="97" spans="1:33" hidden="1">
      <c r="B97" s="321" t="s">
        <v>279</v>
      </c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4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0"/>
      <c r="AB97" s="250"/>
      <c r="AC97" s="250"/>
      <c r="AD97" s="250"/>
      <c r="AE97" s="250"/>
    </row>
    <row r="98" spans="1:33" hidden="1">
      <c r="A98" s="250"/>
      <c r="B98" s="321" t="s">
        <v>283</v>
      </c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4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</row>
    <row r="99" spans="1:33" hidden="1">
      <c r="A99" s="250"/>
      <c r="B99" s="321" t="s">
        <v>275</v>
      </c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2"/>
      <c r="N99" s="322"/>
      <c r="O99" s="322"/>
      <c r="P99" s="324"/>
      <c r="Q99" s="250"/>
      <c r="R99" s="250"/>
      <c r="S99" s="250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</row>
    <row r="100" spans="1:33" ht="13.5" hidden="1" thickBot="1">
      <c r="A100" s="250"/>
      <c r="B100" s="315" t="s">
        <v>237</v>
      </c>
      <c r="C100" s="316">
        <v>0</v>
      </c>
      <c r="D100" s="316">
        <v>0</v>
      </c>
      <c r="E100" s="316">
        <v>0</v>
      </c>
      <c r="F100" s="316">
        <v>0</v>
      </c>
      <c r="G100" s="316">
        <v>0</v>
      </c>
      <c r="H100" s="316">
        <v>0</v>
      </c>
      <c r="I100" s="316">
        <v>0</v>
      </c>
      <c r="J100" s="316">
        <v>0</v>
      </c>
      <c r="K100" s="316">
        <v>0</v>
      </c>
      <c r="L100" s="316">
        <v>0</v>
      </c>
      <c r="M100" s="316">
        <v>0</v>
      </c>
      <c r="N100" s="316">
        <v>0</v>
      </c>
      <c r="O100" s="316">
        <v>0</v>
      </c>
      <c r="P100" s="316">
        <v>0</v>
      </c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  <c r="AA100" s="250"/>
      <c r="AB100" s="250"/>
      <c r="AC100" s="250"/>
      <c r="AD100" s="250"/>
      <c r="AE100" s="250"/>
    </row>
    <row r="101" spans="1:33" hidden="1">
      <c r="A101" s="250"/>
      <c r="B101" s="255"/>
      <c r="C101" s="255"/>
      <c r="D101" s="323"/>
      <c r="E101" s="253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0"/>
      <c r="T101" s="250"/>
      <c r="U101" s="250"/>
      <c r="V101" s="250"/>
      <c r="W101" s="250"/>
      <c r="X101" s="250"/>
      <c r="Y101" s="250"/>
      <c r="Z101" s="250"/>
      <c r="AA101" s="250"/>
      <c r="AB101" s="250"/>
      <c r="AC101" s="250"/>
      <c r="AD101" s="250"/>
      <c r="AE101" s="250"/>
      <c r="AF101" s="250"/>
      <c r="AG101" s="250"/>
    </row>
    <row r="102" spans="1:33" ht="16.5" thickBot="1">
      <c r="A102" s="250"/>
      <c r="B102" s="306" t="s">
        <v>116</v>
      </c>
      <c r="C102" s="325"/>
      <c r="D102" s="325"/>
      <c r="E102" s="325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0"/>
      <c r="T102" s="250"/>
      <c r="U102" s="250"/>
      <c r="V102" s="250"/>
      <c r="W102" s="250"/>
      <c r="X102" s="250"/>
      <c r="Y102" s="250"/>
      <c r="Z102" s="250"/>
      <c r="AA102" s="250"/>
      <c r="AB102" s="250"/>
      <c r="AC102" s="250"/>
      <c r="AD102" s="250"/>
      <c r="AE102" s="250"/>
      <c r="AF102" s="250"/>
      <c r="AG102" s="250"/>
    </row>
    <row r="103" spans="1:33" ht="15" customHeight="1">
      <c r="A103" s="250"/>
      <c r="B103" s="576" t="s">
        <v>295</v>
      </c>
      <c r="C103" s="567" t="s">
        <v>77</v>
      </c>
      <c r="D103" s="567"/>
      <c r="E103" s="567" t="s">
        <v>234</v>
      </c>
      <c r="F103" s="567" t="s">
        <v>235</v>
      </c>
      <c r="G103" s="567"/>
      <c r="H103" s="567"/>
      <c r="I103" s="567"/>
      <c r="J103" s="567"/>
      <c r="K103" s="567"/>
      <c r="L103" s="567"/>
      <c r="M103" s="567"/>
      <c r="N103" s="567" t="s">
        <v>236</v>
      </c>
      <c r="O103" s="567"/>
      <c r="P103" s="567"/>
      <c r="Q103" s="567"/>
      <c r="R103" s="569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0"/>
      <c r="AE103" s="250"/>
    </row>
    <row r="104" spans="1:33" ht="30" customHeight="1">
      <c r="A104" s="250"/>
      <c r="B104" s="577"/>
      <c r="C104" s="356" t="s">
        <v>284</v>
      </c>
      <c r="D104" s="356" t="s">
        <v>285</v>
      </c>
      <c r="E104" s="568"/>
      <c r="F104" s="356" t="s">
        <v>80</v>
      </c>
      <c r="G104" s="356" t="s">
        <v>238</v>
      </c>
      <c r="H104" s="356" t="s">
        <v>82</v>
      </c>
      <c r="I104" s="356" t="s">
        <v>286</v>
      </c>
      <c r="J104" s="356" t="s">
        <v>85</v>
      </c>
      <c r="K104" s="356" t="s">
        <v>239</v>
      </c>
      <c r="L104" s="356" t="s">
        <v>86</v>
      </c>
      <c r="M104" s="356" t="s">
        <v>240</v>
      </c>
      <c r="N104" s="356" t="s">
        <v>242</v>
      </c>
      <c r="O104" s="356" t="s">
        <v>241</v>
      </c>
      <c r="P104" s="356" t="s">
        <v>243</v>
      </c>
      <c r="Q104" s="356" t="s">
        <v>244</v>
      </c>
      <c r="R104" s="326" t="s">
        <v>245</v>
      </c>
      <c r="S104" s="250"/>
      <c r="T104" s="250"/>
      <c r="U104" s="250"/>
      <c r="V104" s="250"/>
      <c r="W104" s="250"/>
      <c r="X104" s="250"/>
      <c r="Y104" s="250"/>
      <c r="Z104" s="250"/>
      <c r="AA104" s="250"/>
      <c r="AB104" s="250"/>
      <c r="AC104" s="250"/>
      <c r="AD104" s="250"/>
      <c r="AE104" s="250"/>
    </row>
    <row r="105" spans="1:33" ht="14.25">
      <c r="A105" s="250"/>
      <c r="B105" s="358" t="s">
        <v>296</v>
      </c>
      <c r="C105" s="362" t="e">
        <f>#REF!*3.6/1000</f>
        <v>#REF!</v>
      </c>
      <c r="D105" s="357" t="s">
        <v>139</v>
      </c>
      <c r="E105" s="362" t="e">
        <f>#REF!*3.6/1000</f>
        <v>#REF!</v>
      </c>
      <c r="F105" s="362" t="e">
        <f>#REF!*3.6/1000</f>
        <v>#REF!</v>
      </c>
      <c r="G105" s="362" t="e">
        <f>#REF!*3.6/1000</f>
        <v>#REF!</v>
      </c>
      <c r="H105" s="362" t="e">
        <f>#REF!*3.6/1000</f>
        <v>#REF!</v>
      </c>
      <c r="I105" s="362" t="e">
        <f>#REF!*3.6/1000</f>
        <v>#REF!</v>
      </c>
      <c r="J105" s="362" t="e">
        <f>#REF!*3.6/1000</f>
        <v>#REF!</v>
      </c>
      <c r="K105" s="362">
        <v>0</v>
      </c>
      <c r="L105" s="362" t="e">
        <f>#REF!*3.6/1000</f>
        <v>#REF!</v>
      </c>
      <c r="M105" s="362" t="e">
        <f>#REF!*3.6/1000</f>
        <v>#REF!</v>
      </c>
      <c r="N105" s="357">
        <v>0</v>
      </c>
      <c r="O105" s="357">
        <v>0</v>
      </c>
      <c r="P105" s="357">
        <v>0</v>
      </c>
      <c r="Q105" s="357">
        <v>0</v>
      </c>
      <c r="R105" s="357">
        <v>0</v>
      </c>
      <c r="S105" s="250"/>
      <c r="T105" s="250"/>
      <c r="U105" s="250"/>
      <c r="V105" s="250"/>
      <c r="W105" s="250"/>
      <c r="X105" s="250"/>
      <c r="Y105" s="250"/>
      <c r="Z105" s="250"/>
      <c r="AA105" s="250"/>
      <c r="AB105" s="250"/>
      <c r="AC105" s="250"/>
      <c r="AD105" s="250"/>
      <c r="AE105" s="250"/>
    </row>
    <row r="106" spans="1:33" ht="14.25">
      <c r="A106" s="250"/>
      <c r="B106" s="358" t="s">
        <v>297</v>
      </c>
      <c r="C106" s="363" t="e">
        <f>#REF!*3.6/1000</f>
        <v>#REF!</v>
      </c>
      <c r="D106" s="357" t="s">
        <v>139</v>
      </c>
      <c r="E106" s="357">
        <v>0</v>
      </c>
      <c r="F106" s="363" t="e">
        <f>#REF!*3.6/1000</f>
        <v>#REF!</v>
      </c>
      <c r="G106" s="363" t="e">
        <f>#REF!*3.6/1000</f>
        <v>#REF!</v>
      </c>
      <c r="H106" s="363" t="e">
        <f>#REF!*3.6/1000</f>
        <v>#REF!</v>
      </c>
      <c r="I106" s="363" t="e">
        <f>#REF!*3.6/1000</f>
        <v>#REF!</v>
      </c>
      <c r="J106" s="363" t="e">
        <f>#REF!*3.6/1000</f>
        <v>#REF!</v>
      </c>
      <c r="K106" s="363">
        <v>0</v>
      </c>
      <c r="L106" s="363" t="e">
        <f>#REF!*3.6/1000</f>
        <v>#REF!</v>
      </c>
      <c r="M106" s="363" t="e">
        <f>#REF!*3.6/1000</f>
        <v>#REF!</v>
      </c>
      <c r="N106" s="357">
        <v>0</v>
      </c>
      <c r="O106" s="357">
        <v>0</v>
      </c>
      <c r="P106" s="357">
        <v>0</v>
      </c>
      <c r="Q106" s="357">
        <v>0</v>
      </c>
      <c r="R106" s="357">
        <v>0</v>
      </c>
      <c r="S106" s="250"/>
      <c r="T106" s="250"/>
      <c r="U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</row>
    <row r="107" spans="1:33" ht="14.25">
      <c r="A107" s="250"/>
      <c r="B107" s="358" t="s">
        <v>298</v>
      </c>
      <c r="C107" s="363" t="e">
        <f>#REF!*3.6/1000</f>
        <v>#REF!</v>
      </c>
      <c r="D107" s="357" t="s">
        <v>139</v>
      </c>
      <c r="E107" s="357">
        <v>0</v>
      </c>
      <c r="F107" s="363" t="e">
        <f>#REF!*3.6/1000</f>
        <v>#REF!</v>
      </c>
      <c r="G107" s="363" t="e">
        <f>#REF!*3.6/1000</f>
        <v>#REF!</v>
      </c>
      <c r="H107" s="363" t="e">
        <f>#REF!*3.6/1000</f>
        <v>#REF!</v>
      </c>
      <c r="I107" s="363" t="e">
        <f>#REF!*3.6/1000</f>
        <v>#REF!</v>
      </c>
      <c r="J107" s="363" t="e">
        <f>#REF!*3.6/1000</f>
        <v>#REF!</v>
      </c>
      <c r="K107" s="363">
        <v>0</v>
      </c>
      <c r="L107" s="363" t="e">
        <f>#REF!*3.6/1000</f>
        <v>#REF!</v>
      </c>
      <c r="M107" s="363" t="e">
        <f>#REF!*3.6/1000</f>
        <v>#REF!</v>
      </c>
      <c r="N107" s="357">
        <v>0</v>
      </c>
      <c r="O107" s="357">
        <v>0</v>
      </c>
      <c r="P107" s="357">
        <v>0</v>
      </c>
      <c r="Q107" s="357">
        <v>0</v>
      </c>
      <c r="R107" s="357">
        <v>0</v>
      </c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</row>
    <row r="108" spans="1:33" ht="14.25">
      <c r="A108" s="250"/>
      <c r="B108" s="358" t="s">
        <v>299</v>
      </c>
      <c r="C108" s="357" t="e">
        <f t="shared" ref="C108:R108" si="25">GWP_CH4</f>
        <v>#REF!</v>
      </c>
      <c r="D108" s="357" t="e">
        <f t="shared" si="25"/>
        <v>#REF!</v>
      </c>
      <c r="E108" s="357" t="e">
        <f t="shared" si="25"/>
        <v>#REF!</v>
      </c>
      <c r="F108" s="357" t="e">
        <f t="shared" si="25"/>
        <v>#REF!</v>
      </c>
      <c r="G108" s="357" t="e">
        <f t="shared" si="25"/>
        <v>#REF!</v>
      </c>
      <c r="H108" s="357" t="e">
        <f t="shared" si="25"/>
        <v>#REF!</v>
      </c>
      <c r="I108" s="357" t="e">
        <f t="shared" si="25"/>
        <v>#REF!</v>
      </c>
      <c r="J108" s="357" t="e">
        <f t="shared" si="25"/>
        <v>#REF!</v>
      </c>
      <c r="K108" s="357" t="e">
        <f t="shared" si="25"/>
        <v>#REF!</v>
      </c>
      <c r="L108" s="357" t="e">
        <f t="shared" si="25"/>
        <v>#REF!</v>
      </c>
      <c r="M108" s="357" t="e">
        <f t="shared" si="25"/>
        <v>#REF!</v>
      </c>
      <c r="N108" s="357" t="e">
        <f t="shared" si="25"/>
        <v>#REF!</v>
      </c>
      <c r="O108" s="357" t="e">
        <f t="shared" si="25"/>
        <v>#REF!</v>
      </c>
      <c r="P108" s="357" t="e">
        <f t="shared" si="25"/>
        <v>#REF!</v>
      </c>
      <c r="Q108" s="357" t="e">
        <f t="shared" si="25"/>
        <v>#REF!</v>
      </c>
      <c r="R108" s="357" t="e">
        <f t="shared" si="25"/>
        <v>#REF!</v>
      </c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</row>
    <row r="109" spans="1:33" ht="15" thickBot="1">
      <c r="A109" s="250"/>
      <c r="B109" s="364" t="s">
        <v>300</v>
      </c>
      <c r="C109" s="327" t="e">
        <f t="shared" ref="C109:R109" si="26">GWP_N2O</f>
        <v>#REF!</v>
      </c>
      <c r="D109" s="327" t="e">
        <f t="shared" si="26"/>
        <v>#REF!</v>
      </c>
      <c r="E109" s="327" t="e">
        <f t="shared" si="26"/>
        <v>#REF!</v>
      </c>
      <c r="F109" s="327" t="e">
        <f t="shared" si="26"/>
        <v>#REF!</v>
      </c>
      <c r="G109" s="327" t="e">
        <f t="shared" si="26"/>
        <v>#REF!</v>
      </c>
      <c r="H109" s="327" t="e">
        <f t="shared" si="26"/>
        <v>#REF!</v>
      </c>
      <c r="I109" s="327" t="e">
        <f t="shared" si="26"/>
        <v>#REF!</v>
      </c>
      <c r="J109" s="327" t="e">
        <f t="shared" si="26"/>
        <v>#REF!</v>
      </c>
      <c r="K109" s="327" t="e">
        <f t="shared" si="26"/>
        <v>#REF!</v>
      </c>
      <c r="L109" s="327" t="e">
        <f t="shared" si="26"/>
        <v>#REF!</v>
      </c>
      <c r="M109" s="327" t="e">
        <f t="shared" si="26"/>
        <v>#REF!</v>
      </c>
      <c r="N109" s="327" t="e">
        <f t="shared" si="26"/>
        <v>#REF!</v>
      </c>
      <c r="O109" s="327" t="e">
        <f t="shared" si="26"/>
        <v>#REF!</v>
      </c>
      <c r="P109" s="327" t="e">
        <f t="shared" si="26"/>
        <v>#REF!</v>
      </c>
      <c r="Q109" s="327" t="e">
        <f t="shared" si="26"/>
        <v>#REF!</v>
      </c>
      <c r="R109" s="327" t="e">
        <f t="shared" si="26"/>
        <v>#REF!</v>
      </c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</row>
    <row r="110" spans="1:33">
      <c r="A110" s="250"/>
      <c r="B110" s="255"/>
      <c r="C110" s="255"/>
      <c r="D110" s="323"/>
      <c r="E110" s="253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</row>
    <row r="111" spans="1:33" ht="16.5" thickBot="1">
      <c r="A111" s="250"/>
      <c r="B111" s="306" t="s">
        <v>287</v>
      </c>
      <c r="C111" s="325"/>
      <c r="D111" s="325"/>
      <c r="E111" s="325"/>
      <c r="F111" s="325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</row>
    <row r="112" spans="1:33" ht="25.5" customHeight="1">
      <c r="A112" s="250"/>
      <c r="B112" s="328" t="s">
        <v>288</v>
      </c>
      <c r="C112" s="329" t="s">
        <v>289</v>
      </c>
      <c r="D112" s="253"/>
      <c r="E112" s="253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</row>
    <row r="113" spans="1:33" ht="15" customHeight="1">
      <c r="A113" s="250"/>
      <c r="B113" s="321" t="s">
        <v>4</v>
      </c>
      <c r="C113" s="365" t="e">
        <f>#REF!</f>
        <v>#REF!</v>
      </c>
      <c r="D113" s="253"/>
      <c r="E113" s="253"/>
      <c r="F113" s="253"/>
      <c r="G113" s="253"/>
      <c r="H113" s="253"/>
      <c r="I113" s="253"/>
      <c r="J113" s="253"/>
      <c r="K113" s="253"/>
      <c r="L113" s="253"/>
      <c r="M113" s="253"/>
      <c r="N113" s="253"/>
      <c r="O113" s="253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  <c r="AA113" s="250"/>
      <c r="AB113" s="250"/>
      <c r="AC113" s="250"/>
      <c r="AD113" s="250"/>
    </row>
    <row r="114" spans="1:33" ht="15" customHeight="1">
      <c r="A114" s="250"/>
      <c r="B114" s="321" t="s">
        <v>18</v>
      </c>
      <c r="C114" s="330" t="e">
        <f>#REF!</f>
        <v>#REF!</v>
      </c>
      <c r="D114" s="253"/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  <c r="AA114" s="250"/>
      <c r="AB114" s="250"/>
      <c r="AC114" s="250"/>
      <c r="AD114" s="250"/>
    </row>
    <row r="115" spans="1:33" ht="15" customHeight="1" thickBot="1">
      <c r="A115" s="250"/>
      <c r="B115" s="331" t="s">
        <v>275</v>
      </c>
      <c r="C115" s="366" t="e">
        <f>SUM(#REF!,#REF!,#REF!)</f>
        <v>#REF!</v>
      </c>
      <c r="D115" s="253"/>
      <c r="E115" s="253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  <c r="AA115" s="250"/>
      <c r="AB115" s="250"/>
      <c r="AC115" s="250"/>
      <c r="AD115" s="250"/>
    </row>
    <row r="116" spans="1:33">
      <c r="A116" s="250"/>
      <c r="B116" s="255"/>
      <c r="C116" s="255"/>
      <c r="D116" s="323"/>
      <c r="E116" s="253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0"/>
      <c r="T116" s="250"/>
      <c r="U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</row>
    <row r="117" spans="1:33" ht="24" thickBot="1">
      <c r="A117" s="250"/>
      <c r="B117" s="561" t="s">
        <v>329</v>
      </c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1"/>
      <c r="P117" s="561"/>
      <c r="Q117" s="561"/>
      <c r="R117" s="561"/>
      <c r="S117" s="561"/>
      <c r="T117" s="250"/>
      <c r="U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250"/>
      <c r="AG117" s="250"/>
    </row>
    <row r="118" spans="1:33" ht="14.25" customHeight="1">
      <c r="A118" s="334"/>
      <c r="B118" s="544" t="s">
        <v>2</v>
      </c>
      <c r="C118" s="545"/>
      <c r="D118" s="570" t="s">
        <v>291</v>
      </c>
      <c r="E118" s="571"/>
      <c r="F118" s="571"/>
      <c r="G118" s="571"/>
      <c r="H118" s="571"/>
      <c r="I118" s="571"/>
      <c r="J118" s="571"/>
      <c r="K118" s="571"/>
      <c r="L118" s="571"/>
      <c r="M118" s="571"/>
      <c r="N118" s="571"/>
      <c r="O118" s="571"/>
      <c r="P118" s="571"/>
      <c r="Q118" s="571"/>
      <c r="R118" s="571"/>
      <c r="S118" s="572"/>
      <c r="T118" s="334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</row>
    <row r="119" spans="1:33" ht="14.25" customHeight="1">
      <c r="A119" s="334"/>
      <c r="B119" s="546"/>
      <c r="C119" s="547"/>
      <c r="D119" s="551" t="s">
        <v>77</v>
      </c>
      <c r="E119" s="551" t="s">
        <v>234</v>
      </c>
      <c r="F119" s="551" t="s">
        <v>235</v>
      </c>
      <c r="G119" s="551"/>
      <c r="H119" s="551"/>
      <c r="I119" s="551"/>
      <c r="J119" s="551"/>
      <c r="K119" s="551"/>
      <c r="L119" s="551"/>
      <c r="M119" s="551"/>
      <c r="N119" s="551" t="s">
        <v>236</v>
      </c>
      <c r="O119" s="551"/>
      <c r="P119" s="551"/>
      <c r="Q119" s="551"/>
      <c r="R119" s="551"/>
      <c r="S119" s="563" t="s">
        <v>237</v>
      </c>
      <c r="T119" s="334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</row>
    <row r="120" spans="1:33" ht="26.25" thickBot="1">
      <c r="A120" s="334"/>
      <c r="B120" s="546"/>
      <c r="C120" s="547"/>
      <c r="D120" s="552"/>
      <c r="E120" s="552"/>
      <c r="F120" s="278" t="s">
        <v>80</v>
      </c>
      <c r="G120" s="278" t="s">
        <v>238</v>
      </c>
      <c r="H120" s="278" t="s">
        <v>82</v>
      </c>
      <c r="I120" s="278" t="s">
        <v>84</v>
      </c>
      <c r="J120" s="278" t="s">
        <v>85</v>
      </c>
      <c r="K120" s="278" t="s">
        <v>239</v>
      </c>
      <c r="L120" s="278" t="s">
        <v>86</v>
      </c>
      <c r="M120" s="278" t="s">
        <v>240</v>
      </c>
      <c r="N120" s="278" t="s">
        <v>241</v>
      </c>
      <c r="O120" s="278" t="s">
        <v>242</v>
      </c>
      <c r="P120" s="278" t="s">
        <v>243</v>
      </c>
      <c r="Q120" s="278" t="s">
        <v>244</v>
      </c>
      <c r="R120" s="278" t="s">
        <v>245</v>
      </c>
      <c r="S120" s="564"/>
      <c r="T120" s="334"/>
      <c r="U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</row>
    <row r="121" spans="1:33" ht="14.25" customHeight="1">
      <c r="A121" s="250"/>
      <c r="B121" s="335" t="s">
        <v>246</v>
      </c>
      <c r="C121" s="336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8"/>
      <c r="T121" s="250"/>
      <c r="U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</row>
    <row r="122" spans="1:33" ht="14.25" customHeight="1">
      <c r="A122" s="250"/>
      <c r="B122" s="339" t="s">
        <v>247</v>
      </c>
      <c r="C122" s="340"/>
      <c r="D122" s="372" t="e">
        <f>D60*C$105+D60*C$106*C$108+D60*C$107*C$109</f>
        <v>#REF!</v>
      </c>
      <c r="E122" s="372" t="e">
        <f>E60*E$105+E60*E$106*E$108+E60*E$107*E$109</f>
        <v>#REF!</v>
      </c>
      <c r="F122" s="372" t="e">
        <f t="shared" ref="F122:R122" si="27">F60*F$105+F60*F$106*F$108+F60*F$107*F$109</f>
        <v>#REF!</v>
      </c>
      <c r="G122" s="372" t="e">
        <f t="shared" si="27"/>
        <v>#REF!</v>
      </c>
      <c r="H122" s="372" t="e">
        <f t="shared" si="27"/>
        <v>#REF!</v>
      </c>
      <c r="I122" s="372" t="e">
        <f t="shared" si="27"/>
        <v>#REF!</v>
      </c>
      <c r="J122" s="372" t="e">
        <f t="shared" si="27"/>
        <v>#REF!</v>
      </c>
      <c r="K122" s="372" t="e">
        <f t="shared" si="27"/>
        <v>#REF!</v>
      </c>
      <c r="L122" s="372" t="e">
        <f t="shared" si="27"/>
        <v>#REF!</v>
      </c>
      <c r="M122" s="372" t="e">
        <f t="shared" si="27"/>
        <v>#REF!</v>
      </c>
      <c r="N122" s="372" t="e">
        <f t="shared" si="27"/>
        <v>#REF!</v>
      </c>
      <c r="O122" s="372" t="e">
        <f t="shared" si="27"/>
        <v>#REF!</v>
      </c>
      <c r="P122" s="372" t="e">
        <f t="shared" si="27"/>
        <v>#REF!</v>
      </c>
      <c r="Q122" s="372" t="e">
        <f t="shared" si="27"/>
        <v>#REF!</v>
      </c>
      <c r="R122" s="372" t="e">
        <f t="shared" si="27"/>
        <v>#REF!</v>
      </c>
      <c r="S122" s="341" t="e">
        <f>SUM(D122:R122)</f>
        <v>#REF!</v>
      </c>
      <c r="T122" s="250"/>
      <c r="U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</row>
    <row r="123" spans="1:33" ht="14.25" customHeight="1">
      <c r="A123" s="250"/>
      <c r="B123" s="342" t="s">
        <v>248</v>
      </c>
      <c r="C123" s="343"/>
      <c r="D123" s="372" t="e">
        <f t="shared" ref="D123:D128" si="28">D61*C$105+D61*C$106*C$108+D61*C$107*C$109</f>
        <v>#REF!</v>
      </c>
      <c r="E123" s="372" t="e">
        <f t="shared" ref="E123:R125" si="29">E61*E$105+E61*E$106*E$108+E61*E$107*E$109</f>
        <v>#REF!</v>
      </c>
      <c r="F123" s="372" t="e">
        <f t="shared" si="29"/>
        <v>#REF!</v>
      </c>
      <c r="G123" s="372" t="e">
        <f t="shared" si="29"/>
        <v>#REF!</v>
      </c>
      <c r="H123" s="372" t="e">
        <f t="shared" si="29"/>
        <v>#REF!</v>
      </c>
      <c r="I123" s="372" t="e">
        <f t="shared" si="29"/>
        <v>#REF!</v>
      </c>
      <c r="J123" s="372" t="e">
        <f t="shared" si="29"/>
        <v>#REF!</v>
      </c>
      <c r="K123" s="372" t="e">
        <f t="shared" si="29"/>
        <v>#REF!</v>
      </c>
      <c r="L123" s="372" t="e">
        <f t="shared" si="29"/>
        <v>#REF!</v>
      </c>
      <c r="M123" s="372" t="e">
        <f t="shared" si="29"/>
        <v>#REF!</v>
      </c>
      <c r="N123" s="372" t="e">
        <f t="shared" si="29"/>
        <v>#REF!</v>
      </c>
      <c r="O123" s="372" t="e">
        <f t="shared" si="29"/>
        <v>#REF!</v>
      </c>
      <c r="P123" s="372" t="e">
        <f t="shared" si="29"/>
        <v>#REF!</v>
      </c>
      <c r="Q123" s="372" t="e">
        <f t="shared" si="29"/>
        <v>#REF!</v>
      </c>
      <c r="R123" s="372" t="e">
        <f t="shared" si="29"/>
        <v>#REF!</v>
      </c>
      <c r="S123" s="341" t="e">
        <f t="shared" ref="S123:S128" si="30">SUM(D123:R123)</f>
        <v>#REF!</v>
      </c>
      <c r="T123" s="250"/>
      <c r="U123" s="250"/>
      <c r="V123" s="250"/>
      <c r="W123" s="250"/>
      <c r="X123" s="250"/>
      <c r="Y123" s="250"/>
      <c r="Z123" s="250"/>
      <c r="AA123" s="250"/>
      <c r="AB123" s="250"/>
      <c r="AC123" s="250"/>
      <c r="AD123" s="250"/>
      <c r="AE123" s="250"/>
      <c r="AF123" s="250"/>
      <c r="AG123" s="250"/>
    </row>
    <row r="124" spans="1:33" ht="14.25" customHeight="1">
      <c r="A124" s="250"/>
      <c r="B124" s="342" t="s">
        <v>0</v>
      </c>
      <c r="C124" s="343"/>
      <c r="D124" s="372" t="e">
        <f t="shared" si="28"/>
        <v>#REF!</v>
      </c>
      <c r="E124" s="372" t="e">
        <f t="shared" si="29"/>
        <v>#REF!</v>
      </c>
      <c r="F124" s="372" t="e">
        <f t="shared" si="29"/>
        <v>#REF!</v>
      </c>
      <c r="G124" s="372" t="e">
        <f t="shared" si="29"/>
        <v>#REF!</v>
      </c>
      <c r="H124" s="372" t="e">
        <f t="shared" si="29"/>
        <v>#REF!</v>
      </c>
      <c r="I124" s="372" t="e">
        <f t="shared" si="29"/>
        <v>#REF!</v>
      </c>
      <c r="J124" s="372" t="e">
        <f t="shared" si="29"/>
        <v>#REF!</v>
      </c>
      <c r="K124" s="372" t="e">
        <f t="shared" si="29"/>
        <v>#REF!</v>
      </c>
      <c r="L124" s="372" t="e">
        <f t="shared" si="29"/>
        <v>#REF!</v>
      </c>
      <c r="M124" s="372" t="e">
        <f t="shared" si="29"/>
        <v>#REF!</v>
      </c>
      <c r="N124" s="372" t="e">
        <f t="shared" si="29"/>
        <v>#REF!</v>
      </c>
      <c r="O124" s="372" t="e">
        <f t="shared" si="29"/>
        <v>#REF!</v>
      </c>
      <c r="P124" s="372" t="e">
        <f t="shared" si="29"/>
        <v>#REF!</v>
      </c>
      <c r="Q124" s="372" t="e">
        <f t="shared" si="29"/>
        <v>#REF!</v>
      </c>
      <c r="R124" s="372" t="e">
        <f t="shared" si="29"/>
        <v>#REF!</v>
      </c>
      <c r="S124" s="341" t="e">
        <f t="shared" si="30"/>
        <v>#REF!</v>
      </c>
      <c r="T124" s="250"/>
      <c r="U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</row>
    <row r="125" spans="1:33" ht="14.25" customHeight="1">
      <c r="A125" s="250"/>
      <c r="B125" s="342" t="s">
        <v>42</v>
      </c>
      <c r="C125" s="343"/>
      <c r="D125" s="372" t="e">
        <f t="shared" si="28"/>
        <v>#REF!</v>
      </c>
      <c r="E125" s="372" t="e">
        <f t="shared" si="29"/>
        <v>#REF!</v>
      </c>
      <c r="F125" s="372" t="e">
        <f t="shared" si="29"/>
        <v>#REF!</v>
      </c>
      <c r="G125" s="372" t="e">
        <f t="shared" si="29"/>
        <v>#REF!</v>
      </c>
      <c r="H125" s="372" t="e">
        <f t="shared" si="29"/>
        <v>#REF!</v>
      </c>
      <c r="I125" s="372" t="e">
        <f t="shared" si="29"/>
        <v>#REF!</v>
      </c>
      <c r="J125" s="372" t="e">
        <f t="shared" si="29"/>
        <v>#REF!</v>
      </c>
      <c r="K125" s="372" t="e">
        <f t="shared" si="29"/>
        <v>#REF!</v>
      </c>
      <c r="L125" s="372" t="e">
        <f t="shared" si="29"/>
        <v>#REF!</v>
      </c>
      <c r="M125" s="372" t="e">
        <f t="shared" si="29"/>
        <v>#REF!</v>
      </c>
      <c r="N125" s="372" t="e">
        <f t="shared" si="29"/>
        <v>#REF!</v>
      </c>
      <c r="O125" s="372" t="e">
        <f t="shared" si="29"/>
        <v>#REF!</v>
      </c>
      <c r="P125" s="372" t="e">
        <f t="shared" si="29"/>
        <v>#REF!</v>
      </c>
      <c r="Q125" s="372" t="e">
        <f t="shared" si="29"/>
        <v>#REF!</v>
      </c>
      <c r="R125" s="372" t="e">
        <f t="shared" si="29"/>
        <v>#REF!</v>
      </c>
      <c r="S125" s="341" t="e">
        <f t="shared" si="30"/>
        <v>#REF!</v>
      </c>
      <c r="T125" s="250"/>
      <c r="U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250"/>
      <c r="AG125" s="250"/>
    </row>
    <row r="126" spans="1:33" ht="14.25" customHeight="1">
      <c r="A126" s="250"/>
      <c r="B126" s="573" t="s">
        <v>11</v>
      </c>
      <c r="C126" s="370" t="s">
        <v>249</v>
      </c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250"/>
      <c r="U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</row>
    <row r="127" spans="1:33" ht="14.25" customHeight="1">
      <c r="A127" s="250"/>
      <c r="B127" s="573"/>
      <c r="C127" s="370" t="s">
        <v>250</v>
      </c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250"/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</row>
    <row r="128" spans="1:33">
      <c r="A128" s="250"/>
      <c r="B128" s="573"/>
      <c r="C128" s="290" t="s">
        <v>237</v>
      </c>
      <c r="D128" s="372" t="e">
        <f t="shared" si="28"/>
        <v>#REF!</v>
      </c>
      <c r="E128" s="372" t="e">
        <f t="shared" ref="E128:R128" si="31">E66*E$105+E66*E$106*E$108+E66*E$107*E$109</f>
        <v>#REF!</v>
      </c>
      <c r="F128" s="372" t="e">
        <f t="shared" si="31"/>
        <v>#REF!</v>
      </c>
      <c r="G128" s="372" t="e">
        <f t="shared" si="31"/>
        <v>#REF!</v>
      </c>
      <c r="H128" s="372" t="e">
        <f t="shared" si="31"/>
        <v>#REF!</v>
      </c>
      <c r="I128" s="372" t="e">
        <f t="shared" si="31"/>
        <v>#REF!</v>
      </c>
      <c r="J128" s="372" t="e">
        <f t="shared" si="31"/>
        <v>#REF!</v>
      </c>
      <c r="K128" s="372" t="e">
        <f t="shared" si="31"/>
        <v>#REF!</v>
      </c>
      <c r="L128" s="372" t="e">
        <f t="shared" si="31"/>
        <v>#REF!</v>
      </c>
      <c r="M128" s="372" t="e">
        <f t="shared" si="31"/>
        <v>#REF!</v>
      </c>
      <c r="N128" s="372" t="e">
        <f t="shared" si="31"/>
        <v>#REF!</v>
      </c>
      <c r="O128" s="372" t="e">
        <f t="shared" si="31"/>
        <v>#REF!</v>
      </c>
      <c r="P128" s="372" t="e">
        <f t="shared" si="31"/>
        <v>#REF!</v>
      </c>
      <c r="Q128" s="372" t="e">
        <f t="shared" si="31"/>
        <v>#REF!</v>
      </c>
      <c r="R128" s="372" t="e">
        <f t="shared" si="31"/>
        <v>#REF!</v>
      </c>
      <c r="S128" s="344" t="e">
        <f t="shared" si="30"/>
        <v>#REF!</v>
      </c>
      <c r="T128" s="250"/>
      <c r="U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</row>
    <row r="129" spans="1:33">
      <c r="A129" s="250"/>
      <c r="B129" s="345" t="s">
        <v>292</v>
      </c>
      <c r="C129" s="346"/>
      <c r="D129" s="373" t="e">
        <f>SUM(D122:D125,D128)</f>
        <v>#REF!</v>
      </c>
      <c r="E129" s="373" t="e">
        <f t="shared" ref="E129:S129" si="32">SUM(E122:E125,E128)</f>
        <v>#REF!</v>
      </c>
      <c r="F129" s="373" t="e">
        <f t="shared" si="32"/>
        <v>#REF!</v>
      </c>
      <c r="G129" s="373" t="e">
        <f t="shared" si="32"/>
        <v>#REF!</v>
      </c>
      <c r="H129" s="373" t="e">
        <f t="shared" si="32"/>
        <v>#REF!</v>
      </c>
      <c r="I129" s="373" t="e">
        <f t="shared" si="32"/>
        <v>#REF!</v>
      </c>
      <c r="J129" s="373" t="e">
        <f t="shared" si="32"/>
        <v>#REF!</v>
      </c>
      <c r="K129" s="373" t="e">
        <f t="shared" si="32"/>
        <v>#REF!</v>
      </c>
      <c r="L129" s="373" t="e">
        <f t="shared" si="32"/>
        <v>#REF!</v>
      </c>
      <c r="M129" s="373" t="e">
        <f t="shared" si="32"/>
        <v>#REF!</v>
      </c>
      <c r="N129" s="373" t="e">
        <f t="shared" si="32"/>
        <v>#REF!</v>
      </c>
      <c r="O129" s="373" t="e">
        <f t="shared" si="32"/>
        <v>#REF!</v>
      </c>
      <c r="P129" s="373" t="e">
        <f t="shared" si="32"/>
        <v>#REF!</v>
      </c>
      <c r="Q129" s="373" t="e">
        <f t="shared" si="32"/>
        <v>#REF!</v>
      </c>
      <c r="R129" s="373" t="e">
        <f t="shared" si="32"/>
        <v>#REF!</v>
      </c>
      <c r="S129" s="341" t="e">
        <f t="shared" si="32"/>
        <v>#REF!</v>
      </c>
      <c r="T129" s="250"/>
      <c r="U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</row>
    <row r="130" spans="1:33" ht="14.25" customHeight="1">
      <c r="A130" s="250"/>
      <c r="B130" s="347" t="s">
        <v>252</v>
      </c>
      <c r="C130" s="336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9"/>
      <c r="T130" s="250"/>
      <c r="U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</row>
    <row r="131" spans="1:33" ht="14.25" customHeight="1">
      <c r="A131" s="250"/>
      <c r="B131" s="342" t="s">
        <v>253</v>
      </c>
      <c r="C131" s="350"/>
      <c r="D131" s="372" t="e">
        <f>D69*C$105+D69*C$106*C$108+D69*C$107*C$109</f>
        <v>#REF!</v>
      </c>
      <c r="E131" s="372" t="e">
        <f t="shared" ref="E131:R133" si="33">E69*E$105+E69*E$106*E$108+E69*E$107*E$109</f>
        <v>#REF!</v>
      </c>
      <c r="F131" s="372" t="e">
        <f t="shared" si="33"/>
        <v>#REF!</v>
      </c>
      <c r="G131" s="372" t="e">
        <f t="shared" si="33"/>
        <v>#REF!</v>
      </c>
      <c r="H131" s="372" t="e">
        <f t="shared" si="33"/>
        <v>#REF!</v>
      </c>
      <c r="I131" s="372" t="e">
        <f t="shared" si="33"/>
        <v>#REF!</v>
      </c>
      <c r="J131" s="372" t="e">
        <f t="shared" si="33"/>
        <v>#REF!</v>
      </c>
      <c r="K131" s="372" t="e">
        <f t="shared" si="33"/>
        <v>#REF!</v>
      </c>
      <c r="L131" s="372" t="e">
        <f t="shared" si="33"/>
        <v>#REF!</v>
      </c>
      <c r="M131" s="372" t="e">
        <f t="shared" si="33"/>
        <v>#REF!</v>
      </c>
      <c r="N131" s="372" t="e">
        <f t="shared" si="33"/>
        <v>#REF!</v>
      </c>
      <c r="O131" s="372" t="e">
        <f t="shared" si="33"/>
        <v>#REF!</v>
      </c>
      <c r="P131" s="372" t="e">
        <f t="shared" si="33"/>
        <v>#REF!</v>
      </c>
      <c r="Q131" s="372" t="e">
        <f t="shared" si="33"/>
        <v>#REF!</v>
      </c>
      <c r="R131" s="372" t="e">
        <f t="shared" si="33"/>
        <v>#REF!</v>
      </c>
      <c r="S131" s="341" t="e">
        <f>SUM(D131:R131)</f>
        <v>#REF!</v>
      </c>
      <c r="T131" s="250"/>
      <c r="U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</row>
    <row r="132" spans="1:33" ht="14.25" customHeight="1">
      <c r="A132" s="250"/>
      <c r="B132" s="342" t="s">
        <v>254</v>
      </c>
      <c r="C132" s="350"/>
      <c r="D132" s="372" t="e">
        <f>D70*C$105+D70*C$106*C$108+D70*C$107*C$109</f>
        <v>#REF!</v>
      </c>
      <c r="E132" s="372" t="e">
        <f t="shared" si="33"/>
        <v>#REF!</v>
      </c>
      <c r="F132" s="372" t="e">
        <f t="shared" si="33"/>
        <v>#REF!</v>
      </c>
      <c r="G132" s="372" t="e">
        <f t="shared" si="33"/>
        <v>#REF!</v>
      </c>
      <c r="H132" s="372" t="e">
        <f t="shared" si="33"/>
        <v>#REF!</v>
      </c>
      <c r="I132" s="372" t="e">
        <f t="shared" si="33"/>
        <v>#REF!</v>
      </c>
      <c r="J132" s="372" t="e">
        <f t="shared" si="33"/>
        <v>#REF!</v>
      </c>
      <c r="K132" s="372" t="e">
        <f t="shared" si="33"/>
        <v>#REF!</v>
      </c>
      <c r="L132" s="372" t="e">
        <f t="shared" si="33"/>
        <v>#REF!</v>
      </c>
      <c r="M132" s="372" t="e">
        <f t="shared" si="33"/>
        <v>#REF!</v>
      </c>
      <c r="N132" s="372" t="e">
        <f t="shared" si="33"/>
        <v>#REF!</v>
      </c>
      <c r="O132" s="372" t="e">
        <f t="shared" si="33"/>
        <v>#REF!</v>
      </c>
      <c r="P132" s="372" t="e">
        <f t="shared" si="33"/>
        <v>#REF!</v>
      </c>
      <c r="Q132" s="372" t="e">
        <f t="shared" si="33"/>
        <v>#REF!</v>
      </c>
      <c r="R132" s="372" t="e">
        <f t="shared" si="33"/>
        <v>#REF!</v>
      </c>
      <c r="S132" s="341" t="e">
        <f>SUM(D132:R132)</f>
        <v>#REF!</v>
      </c>
      <c r="T132" s="250"/>
      <c r="U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</row>
    <row r="133" spans="1:33" ht="14.25" customHeight="1">
      <c r="A133" s="250"/>
      <c r="B133" s="342" t="s">
        <v>255</v>
      </c>
      <c r="C133" s="350"/>
      <c r="D133" s="372" t="e">
        <f>D71*C$105+D71*C$106*C$108+D71*C$107*C$109</f>
        <v>#REF!</v>
      </c>
      <c r="E133" s="372" t="e">
        <f t="shared" si="33"/>
        <v>#REF!</v>
      </c>
      <c r="F133" s="372" t="e">
        <f t="shared" si="33"/>
        <v>#REF!</v>
      </c>
      <c r="G133" s="372" t="e">
        <f t="shared" si="33"/>
        <v>#REF!</v>
      </c>
      <c r="H133" s="372" t="e">
        <f t="shared" si="33"/>
        <v>#REF!</v>
      </c>
      <c r="I133" s="372" t="e">
        <f t="shared" si="33"/>
        <v>#REF!</v>
      </c>
      <c r="J133" s="372" t="e">
        <f t="shared" si="33"/>
        <v>#REF!</v>
      </c>
      <c r="K133" s="372" t="e">
        <f t="shared" si="33"/>
        <v>#REF!</v>
      </c>
      <c r="L133" s="372" t="e">
        <f t="shared" si="33"/>
        <v>#REF!</v>
      </c>
      <c r="M133" s="372" t="e">
        <f t="shared" si="33"/>
        <v>#REF!</v>
      </c>
      <c r="N133" s="372" t="e">
        <f t="shared" si="33"/>
        <v>#REF!</v>
      </c>
      <c r="O133" s="372" t="e">
        <f t="shared" si="33"/>
        <v>#REF!</v>
      </c>
      <c r="P133" s="372" t="e">
        <f t="shared" si="33"/>
        <v>#REF!</v>
      </c>
      <c r="Q133" s="372" t="e">
        <f t="shared" si="33"/>
        <v>#REF!</v>
      </c>
      <c r="R133" s="372" t="e">
        <f t="shared" si="33"/>
        <v>#REF!</v>
      </c>
      <c r="S133" s="341" t="e">
        <f>SUM(D133:R133)</f>
        <v>#REF!</v>
      </c>
      <c r="T133" s="250"/>
      <c r="U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</row>
    <row r="134" spans="1:33">
      <c r="A134" s="250"/>
      <c r="B134" s="345" t="s">
        <v>292</v>
      </c>
      <c r="C134" s="346"/>
      <c r="D134" s="373" t="e">
        <f>SUM(D131:D133)</f>
        <v>#REF!</v>
      </c>
      <c r="E134" s="373" t="e">
        <f t="shared" ref="E134:R134" si="34">SUM(E131:E133)</f>
        <v>#REF!</v>
      </c>
      <c r="F134" s="373" t="e">
        <f t="shared" si="34"/>
        <v>#REF!</v>
      </c>
      <c r="G134" s="373" t="e">
        <f t="shared" si="34"/>
        <v>#REF!</v>
      </c>
      <c r="H134" s="373" t="e">
        <f t="shared" si="34"/>
        <v>#REF!</v>
      </c>
      <c r="I134" s="373" t="e">
        <f t="shared" si="34"/>
        <v>#REF!</v>
      </c>
      <c r="J134" s="373" t="e">
        <f t="shared" si="34"/>
        <v>#REF!</v>
      </c>
      <c r="K134" s="373" t="e">
        <f t="shared" si="34"/>
        <v>#REF!</v>
      </c>
      <c r="L134" s="373" t="e">
        <f t="shared" si="34"/>
        <v>#REF!</v>
      </c>
      <c r="M134" s="373" t="e">
        <f t="shared" si="34"/>
        <v>#REF!</v>
      </c>
      <c r="N134" s="373" t="e">
        <f t="shared" si="34"/>
        <v>#REF!</v>
      </c>
      <c r="O134" s="373" t="e">
        <f t="shared" si="34"/>
        <v>#REF!</v>
      </c>
      <c r="P134" s="373" t="e">
        <f t="shared" si="34"/>
        <v>#REF!</v>
      </c>
      <c r="Q134" s="373" t="e">
        <f t="shared" si="34"/>
        <v>#REF!</v>
      </c>
      <c r="R134" s="373" t="e">
        <f t="shared" si="34"/>
        <v>#REF!</v>
      </c>
      <c r="S134" s="341" t="e">
        <f>SUM(S131:S133)</f>
        <v>#REF!</v>
      </c>
      <c r="T134" s="250"/>
      <c r="U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</row>
    <row r="135" spans="1:33">
      <c r="A135" s="250"/>
      <c r="B135" s="347" t="s">
        <v>293</v>
      </c>
      <c r="C135" s="336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9"/>
      <c r="T135" s="250"/>
      <c r="U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</row>
    <row r="136" spans="1:33" ht="14.25" customHeight="1">
      <c r="A136" s="250"/>
      <c r="B136" s="342" t="s">
        <v>258</v>
      </c>
      <c r="C136" s="350"/>
      <c r="D136" s="372" t="e">
        <f>D74*C$105+D74*C$106*C$108+D74*C$107*C$109</f>
        <v>#REF!</v>
      </c>
      <c r="E136" s="372" t="e">
        <f t="shared" ref="E136:R136" si="35">E74*E$105+E74*E$106*E$108+E74*E$107*E$109</f>
        <v>#REF!</v>
      </c>
      <c r="F136" s="372" t="e">
        <f t="shared" si="35"/>
        <v>#REF!</v>
      </c>
      <c r="G136" s="372" t="e">
        <f t="shared" si="35"/>
        <v>#REF!</v>
      </c>
      <c r="H136" s="372" t="e">
        <f t="shared" si="35"/>
        <v>#REF!</v>
      </c>
      <c r="I136" s="372" t="e">
        <f t="shared" si="35"/>
        <v>#REF!</v>
      </c>
      <c r="J136" s="372" t="e">
        <f t="shared" si="35"/>
        <v>#REF!</v>
      </c>
      <c r="K136" s="372" t="e">
        <f t="shared" si="35"/>
        <v>#REF!</v>
      </c>
      <c r="L136" s="372" t="e">
        <f t="shared" si="35"/>
        <v>#REF!</v>
      </c>
      <c r="M136" s="372" t="e">
        <f t="shared" si="35"/>
        <v>#REF!</v>
      </c>
      <c r="N136" s="372" t="e">
        <f t="shared" si="35"/>
        <v>#REF!</v>
      </c>
      <c r="O136" s="372" t="e">
        <f t="shared" si="35"/>
        <v>#REF!</v>
      </c>
      <c r="P136" s="372" t="e">
        <f t="shared" si="35"/>
        <v>#REF!</v>
      </c>
      <c r="Q136" s="372" t="e">
        <f t="shared" si="35"/>
        <v>#REF!</v>
      </c>
      <c r="R136" s="372" t="e">
        <f t="shared" si="35"/>
        <v>#REF!</v>
      </c>
      <c r="S136" s="341" t="e">
        <f>SUM(D136:R136)</f>
        <v>#REF!</v>
      </c>
      <c r="T136" s="250"/>
      <c r="U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</row>
    <row r="137" spans="1:33">
      <c r="A137" s="250"/>
      <c r="B137" s="335" t="s">
        <v>294</v>
      </c>
      <c r="C137" s="351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9"/>
      <c r="T137" s="250"/>
      <c r="U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</row>
    <row r="138" spans="1:33">
      <c r="A138" s="250"/>
      <c r="B138" s="359" t="s">
        <v>4</v>
      </c>
      <c r="C138" s="360"/>
      <c r="D138" s="374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6"/>
      <c r="S138" s="341" t="e">
        <f>C113</f>
        <v>#REF!</v>
      </c>
      <c r="T138" s="250"/>
      <c r="U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</row>
    <row r="139" spans="1:33">
      <c r="A139" s="250"/>
      <c r="B139" s="359" t="s">
        <v>18</v>
      </c>
      <c r="C139" s="360"/>
      <c r="D139" s="377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378"/>
      <c r="R139" s="379"/>
      <c r="S139" s="341" t="e">
        <f>C114</f>
        <v>#REF!</v>
      </c>
      <c r="T139" s="250"/>
      <c r="U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</row>
    <row r="140" spans="1:33" ht="14.25" customHeight="1">
      <c r="A140" s="250"/>
      <c r="B140" s="359" t="s">
        <v>275</v>
      </c>
      <c r="C140" s="361"/>
      <c r="D140" s="380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81"/>
      <c r="P140" s="381"/>
      <c r="Q140" s="381"/>
      <c r="R140" s="382"/>
      <c r="S140" s="341" t="e">
        <f>C115</f>
        <v>#REF!</v>
      </c>
      <c r="T140" s="250"/>
      <c r="U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</row>
    <row r="141" spans="1:33" ht="13.5" thickBot="1">
      <c r="A141" s="250"/>
      <c r="B141" s="352" t="s">
        <v>259</v>
      </c>
      <c r="C141" s="353"/>
      <c r="D141" s="387" t="e">
        <f>D129+D134+D136</f>
        <v>#REF!</v>
      </c>
      <c r="E141" s="387" t="e">
        <f>E129+E134+E136</f>
        <v>#REF!</v>
      </c>
      <c r="F141" s="387" t="e">
        <f t="shared" ref="F141:R141" si="36">F129+F134+F136</f>
        <v>#REF!</v>
      </c>
      <c r="G141" s="387" t="e">
        <f t="shared" si="36"/>
        <v>#REF!</v>
      </c>
      <c r="H141" s="387" t="e">
        <f t="shared" si="36"/>
        <v>#REF!</v>
      </c>
      <c r="I141" s="387" t="e">
        <f t="shared" si="36"/>
        <v>#REF!</v>
      </c>
      <c r="J141" s="387" t="e">
        <f t="shared" si="36"/>
        <v>#REF!</v>
      </c>
      <c r="K141" s="387" t="e">
        <f t="shared" si="36"/>
        <v>#REF!</v>
      </c>
      <c r="L141" s="387" t="e">
        <f t="shared" si="36"/>
        <v>#REF!</v>
      </c>
      <c r="M141" s="387" t="e">
        <f t="shared" si="36"/>
        <v>#REF!</v>
      </c>
      <c r="N141" s="387" t="e">
        <f t="shared" si="36"/>
        <v>#REF!</v>
      </c>
      <c r="O141" s="387" t="e">
        <f t="shared" si="36"/>
        <v>#REF!</v>
      </c>
      <c r="P141" s="387" t="e">
        <f t="shared" si="36"/>
        <v>#REF!</v>
      </c>
      <c r="Q141" s="387" t="e">
        <f t="shared" si="36"/>
        <v>#REF!</v>
      </c>
      <c r="R141" s="387" t="e">
        <f t="shared" si="36"/>
        <v>#REF!</v>
      </c>
      <c r="S141" s="388" t="e">
        <f>SUM(S129,S134,S136,S138:S140)</f>
        <v>#REF!</v>
      </c>
      <c r="T141" s="250"/>
      <c r="U141" s="250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250"/>
      <c r="AG141" s="250"/>
    </row>
    <row r="142" spans="1:33" s="250" customFormat="1" ht="13.5" thickBot="1">
      <c r="B142" s="435" t="s">
        <v>337</v>
      </c>
      <c r="C142" s="436">
        <f>SUM_SEAP!E2</f>
        <v>2015</v>
      </c>
      <c r="D142" s="433">
        <f>IFERROR(D141/SUM_SEAP!D94,)</f>
        <v>0</v>
      </c>
      <c r="E142" s="433">
        <f>IFERROR(E141/SUM_SEAP!E94,)</f>
        <v>0</v>
      </c>
      <c r="F142" s="433">
        <f>IFERROR(F141/SUM_SEAP!F94,)</f>
        <v>0</v>
      </c>
      <c r="G142" s="433">
        <f>IFERROR(G141/SUM_SEAP!G94,)</f>
        <v>0</v>
      </c>
      <c r="H142" s="433">
        <f>IFERROR(H141/SUM_SEAP!H94,)</f>
        <v>0</v>
      </c>
      <c r="I142" s="433">
        <f>IFERROR(I141/SUM_SEAP!I94,)</f>
        <v>0</v>
      </c>
      <c r="J142" s="433">
        <f>IFERROR(J141/SUM_SEAP!J94,)</f>
        <v>0</v>
      </c>
      <c r="K142" s="433">
        <f>IFERROR(K141/SUM_SEAP!K94,)</f>
        <v>0</v>
      </c>
      <c r="L142" s="433">
        <f>IFERROR(L141/SUM_SEAP!L94,)</f>
        <v>0</v>
      </c>
      <c r="M142" s="433">
        <f>IFERROR(M141/SUM_SEAP!M94,)</f>
        <v>0</v>
      </c>
      <c r="N142" s="433">
        <f>IFERROR(N141/SUM_SEAP!N94,)</f>
        <v>0</v>
      </c>
      <c r="O142" s="433">
        <f>IFERROR(O141/SUM_SEAP!O94,)</f>
        <v>0</v>
      </c>
      <c r="P142" s="433">
        <f>IFERROR(P141/SUM_SEAP!P94,)</f>
        <v>0</v>
      </c>
      <c r="Q142" s="433">
        <f>IFERROR(Q141/SUM_SEAP!Q94,)</f>
        <v>0</v>
      </c>
      <c r="R142" s="433">
        <f>IFERROR(R141/SUM_SEAP!R94,)</f>
        <v>0</v>
      </c>
      <c r="S142" s="434">
        <f>IFERROR(S141/SUM_SEAP!S94,)</f>
        <v>0</v>
      </c>
    </row>
    <row r="143" spans="1:33" s="250" customFormat="1"/>
    <row r="144" spans="1:33" s="250" customFormat="1"/>
    <row r="145" spans="1:33" s="250" customFormat="1"/>
    <row r="146" spans="1:33" s="250" customFormat="1"/>
    <row r="147" spans="1:33" s="250" customFormat="1"/>
    <row r="148" spans="1:33" s="250" customFormat="1"/>
    <row r="149" spans="1:33" s="250" customFormat="1"/>
    <row r="150" spans="1:33" s="250" customFormat="1"/>
    <row r="151" spans="1:33" s="250" customFormat="1"/>
    <row r="152" spans="1:33" s="250" customFormat="1"/>
    <row r="153" spans="1:33">
      <c r="A153" s="250"/>
      <c r="B153" s="250"/>
      <c r="C153" s="25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U153" s="250"/>
      <c r="V153" s="250"/>
      <c r="W153" s="250"/>
      <c r="X153" s="250"/>
      <c r="Y153" s="250"/>
      <c r="Z153" s="250"/>
      <c r="AA153" s="250"/>
      <c r="AB153" s="250"/>
      <c r="AC153" s="250"/>
      <c r="AD153" s="250"/>
      <c r="AE153" s="250"/>
      <c r="AF153" s="250"/>
      <c r="AG153" s="250"/>
    </row>
    <row r="154" spans="1:33">
      <c r="A154" s="250"/>
      <c r="B154" s="250"/>
      <c r="C154" s="25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  <c r="AA154" s="250"/>
      <c r="AB154" s="250"/>
      <c r="AC154" s="250"/>
      <c r="AD154" s="250"/>
      <c r="AE154" s="250"/>
      <c r="AF154" s="250"/>
      <c r="AG154" s="250"/>
    </row>
    <row r="155" spans="1:33">
      <c r="A155" s="250"/>
      <c r="B155" s="250"/>
      <c r="C155" s="25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U155" s="250"/>
      <c r="V155" s="250"/>
      <c r="W155" s="250"/>
      <c r="X155" s="250"/>
      <c r="Y155" s="250"/>
      <c r="Z155" s="250"/>
      <c r="AA155" s="250"/>
      <c r="AB155" s="250"/>
      <c r="AC155" s="250"/>
      <c r="AD155" s="250"/>
      <c r="AE155" s="250"/>
      <c r="AF155" s="250"/>
      <c r="AG155" s="250"/>
    </row>
    <row r="156" spans="1:33">
      <c r="A156" s="250"/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0"/>
      <c r="W156" s="250"/>
      <c r="X156" s="250"/>
      <c r="Y156" s="250"/>
      <c r="Z156" s="250"/>
      <c r="AA156" s="250"/>
      <c r="AB156" s="250"/>
      <c r="AC156" s="250"/>
      <c r="AD156" s="250"/>
      <c r="AE156" s="250"/>
      <c r="AF156" s="250"/>
      <c r="AG156" s="250"/>
    </row>
    <row r="157" spans="1:33">
      <c r="A157" s="250"/>
      <c r="B157" s="250"/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250"/>
      <c r="AA157" s="250"/>
      <c r="AB157" s="250"/>
      <c r="AC157" s="250"/>
      <c r="AD157" s="250"/>
      <c r="AE157" s="250"/>
      <c r="AF157" s="250"/>
      <c r="AG157" s="250"/>
    </row>
    <row r="158" spans="1:33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0"/>
      <c r="W158" s="250"/>
      <c r="X158" s="250"/>
      <c r="Y158" s="250"/>
      <c r="Z158" s="250"/>
      <c r="AA158" s="250"/>
      <c r="AB158" s="250"/>
      <c r="AC158" s="250"/>
      <c r="AD158" s="250"/>
      <c r="AE158" s="250"/>
      <c r="AF158" s="250"/>
      <c r="AG158" s="250"/>
    </row>
    <row r="159" spans="1:33">
      <c r="A159" s="250"/>
      <c r="B159" s="250"/>
      <c r="C159" s="250"/>
      <c r="D159" s="250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0"/>
      <c r="W159" s="250"/>
      <c r="X159" s="250"/>
      <c r="Y159" s="250"/>
      <c r="Z159" s="250"/>
      <c r="AA159" s="250"/>
      <c r="AB159" s="250"/>
      <c r="AC159" s="250"/>
      <c r="AD159" s="250"/>
      <c r="AE159" s="250"/>
      <c r="AF159" s="250"/>
      <c r="AG159" s="250"/>
    </row>
    <row r="160" spans="1:33">
      <c r="A160" s="250"/>
      <c r="B160" s="250"/>
      <c r="C160" s="250"/>
      <c r="D160" s="250"/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U160" s="250"/>
      <c r="V160" s="250"/>
      <c r="W160" s="250"/>
      <c r="X160" s="250"/>
      <c r="Y160" s="250"/>
      <c r="Z160" s="250"/>
      <c r="AA160" s="250"/>
      <c r="AB160" s="250"/>
      <c r="AC160" s="250"/>
      <c r="AD160" s="250"/>
      <c r="AE160" s="250"/>
      <c r="AF160" s="250"/>
      <c r="AG160" s="250"/>
    </row>
    <row r="161" spans="1:33">
      <c r="A161" s="250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0"/>
      <c r="X161" s="250"/>
      <c r="Y161" s="250"/>
      <c r="Z161" s="250"/>
      <c r="AA161" s="250"/>
      <c r="AB161" s="250"/>
      <c r="AC161" s="250"/>
      <c r="AD161" s="250"/>
      <c r="AE161" s="250"/>
      <c r="AF161" s="250"/>
      <c r="AG161" s="250"/>
    </row>
    <row r="162" spans="1:33">
      <c r="A162" s="250"/>
      <c r="B162" s="250"/>
      <c r="C162" s="250"/>
      <c r="D162" s="250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250"/>
      <c r="AA162" s="250"/>
      <c r="AB162" s="250"/>
      <c r="AC162" s="250"/>
      <c r="AD162" s="250"/>
      <c r="AE162" s="250"/>
      <c r="AF162" s="250"/>
      <c r="AG162" s="250"/>
    </row>
    <row r="163" spans="1:33">
      <c r="A163" s="250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  <c r="AA163" s="250"/>
      <c r="AB163" s="250"/>
      <c r="AC163" s="250"/>
      <c r="AD163" s="250"/>
      <c r="AE163" s="250"/>
      <c r="AF163" s="250"/>
      <c r="AG163" s="250"/>
    </row>
    <row r="164" spans="1:33">
      <c r="A164" s="250"/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  <c r="AA164" s="250"/>
      <c r="AB164" s="250"/>
      <c r="AC164" s="250"/>
      <c r="AD164" s="250"/>
      <c r="AE164" s="250"/>
      <c r="AF164" s="250"/>
      <c r="AG164" s="250"/>
    </row>
    <row r="165" spans="1:33">
      <c r="A165" s="250"/>
      <c r="B165" s="250"/>
      <c r="C165" s="250"/>
      <c r="D165" s="250"/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U165" s="250"/>
      <c r="V165" s="250"/>
      <c r="W165" s="250"/>
      <c r="X165" s="250"/>
      <c r="Y165" s="250"/>
      <c r="Z165" s="250"/>
      <c r="AA165" s="250"/>
      <c r="AB165" s="250"/>
      <c r="AC165" s="250"/>
      <c r="AD165" s="250"/>
      <c r="AE165" s="250"/>
      <c r="AF165" s="250"/>
      <c r="AG165" s="250"/>
    </row>
    <row r="166" spans="1:33">
      <c r="A166" s="250"/>
      <c r="B166" s="250"/>
      <c r="C166" s="250"/>
      <c r="D166" s="250"/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250"/>
      <c r="U166" s="250"/>
      <c r="V166" s="250"/>
      <c r="W166" s="250"/>
      <c r="X166" s="250"/>
      <c r="Y166" s="250"/>
      <c r="Z166" s="250"/>
      <c r="AA166" s="250"/>
      <c r="AB166" s="250"/>
      <c r="AC166" s="250"/>
      <c r="AD166" s="250"/>
      <c r="AE166" s="250"/>
      <c r="AF166" s="250"/>
      <c r="AG166" s="250"/>
    </row>
    <row r="167" spans="1:33">
      <c r="A167" s="250"/>
      <c r="B167" s="250"/>
      <c r="C167" s="250"/>
      <c r="D167" s="250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250"/>
      <c r="T167" s="250"/>
      <c r="U167" s="250"/>
      <c r="V167" s="250"/>
      <c r="W167" s="250"/>
      <c r="X167" s="250"/>
      <c r="Y167" s="250"/>
      <c r="Z167" s="250"/>
      <c r="AA167" s="250"/>
      <c r="AB167" s="250"/>
      <c r="AC167" s="250"/>
      <c r="AD167" s="250"/>
      <c r="AE167" s="250"/>
      <c r="AF167" s="250"/>
      <c r="AG167" s="250"/>
    </row>
    <row r="168" spans="1:33">
      <c r="A168" s="250"/>
      <c r="B168" s="250"/>
      <c r="C168" s="250"/>
      <c r="D168" s="250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  <c r="R168" s="250"/>
      <c r="S168" s="250"/>
      <c r="T168" s="250"/>
      <c r="U168" s="250"/>
      <c r="V168" s="250"/>
      <c r="W168" s="250"/>
      <c r="X168" s="250"/>
      <c r="Y168" s="250"/>
      <c r="Z168" s="250"/>
      <c r="AA168" s="250"/>
      <c r="AB168" s="250"/>
      <c r="AC168" s="250"/>
      <c r="AD168" s="250"/>
      <c r="AE168" s="250"/>
      <c r="AF168" s="250"/>
      <c r="AG168" s="250"/>
    </row>
    <row r="169" spans="1:33">
      <c r="A169" s="250"/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250"/>
      <c r="AB169" s="250"/>
      <c r="AC169" s="250"/>
      <c r="AD169" s="250"/>
      <c r="AE169" s="250"/>
      <c r="AF169" s="250"/>
      <c r="AG169" s="250"/>
    </row>
    <row r="170" spans="1:33">
      <c r="A170" s="250"/>
      <c r="B170" s="250"/>
      <c r="C170" s="250"/>
      <c r="D170" s="250"/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  <c r="R170" s="250"/>
      <c r="S170" s="250"/>
      <c r="T170" s="250"/>
      <c r="U170" s="250"/>
      <c r="V170" s="250"/>
      <c r="W170" s="250"/>
      <c r="X170" s="250"/>
      <c r="Y170" s="250"/>
      <c r="Z170" s="250"/>
      <c r="AA170" s="250"/>
      <c r="AB170" s="250"/>
      <c r="AC170" s="250"/>
      <c r="AD170" s="250"/>
      <c r="AE170" s="250"/>
      <c r="AF170" s="250"/>
      <c r="AG170" s="250"/>
    </row>
    <row r="171" spans="1:33">
      <c r="A171" s="250"/>
      <c r="B171" s="250"/>
      <c r="C171" s="250"/>
      <c r="D171" s="250"/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  <c r="R171" s="250"/>
      <c r="S171" s="250"/>
      <c r="T171" s="250"/>
      <c r="U171" s="250"/>
      <c r="V171" s="250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250"/>
      <c r="AG171" s="250"/>
    </row>
    <row r="172" spans="1:33">
      <c r="A172" s="250"/>
      <c r="B172" s="250"/>
      <c r="C172" s="250"/>
      <c r="D172" s="250"/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  <c r="R172" s="250"/>
      <c r="S172" s="250"/>
      <c r="T172" s="250"/>
      <c r="U172" s="250"/>
      <c r="V172" s="250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250"/>
      <c r="AG172" s="250"/>
    </row>
    <row r="173" spans="1:33">
      <c r="A173" s="250"/>
      <c r="B173" s="250"/>
      <c r="C173" s="250"/>
      <c r="D173" s="250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0"/>
      <c r="S173" s="250"/>
      <c r="T173" s="250"/>
      <c r="U173" s="250"/>
      <c r="V173" s="250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250"/>
      <c r="AG173" s="250"/>
    </row>
    <row r="174" spans="1:33">
      <c r="A174" s="250"/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250"/>
      <c r="AG174" s="250"/>
    </row>
    <row r="175" spans="1:33">
      <c r="A175" s="250"/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</row>
    <row r="176" spans="1:33">
      <c r="A176" s="250"/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</row>
    <row r="177" spans="1:33">
      <c r="A177" s="250"/>
      <c r="B177" s="250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0"/>
      <c r="S177" s="250"/>
      <c r="T177" s="250"/>
      <c r="U177" s="250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250"/>
      <c r="AG177" s="250"/>
    </row>
    <row r="178" spans="1:33">
      <c r="A178" s="250"/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</row>
    <row r="179" spans="1:33">
      <c r="A179" s="250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</row>
    <row r="180" spans="1:33">
      <c r="A180" s="250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  <c r="AA180" s="250"/>
      <c r="AB180" s="250"/>
      <c r="AC180" s="250"/>
      <c r="AD180" s="250"/>
      <c r="AE180" s="250"/>
      <c r="AF180" s="250"/>
      <c r="AG180" s="250"/>
    </row>
    <row r="181" spans="1:33">
      <c r="A181" s="250"/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  <c r="AA181" s="250"/>
      <c r="AB181" s="250"/>
      <c r="AC181" s="250"/>
      <c r="AD181" s="250"/>
      <c r="AE181" s="250"/>
      <c r="AF181" s="250"/>
      <c r="AG181" s="250"/>
    </row>
    <row r="182" spans="1:33">
      <c r="A182" s="250"/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  <c r="AA182" s="250"/>
      <c r="AB182" s="250"/>
      <c r="AC182" s="250"/>
      <c r="AD182" s="250"/>
      <c r="AE182" s="250"/>
      <c r="AF182" s="250"/>
      <c r="AG182" s="250"/>
    </row>
    <row r="183" spans="1:33">
      <c r="A183" s="250"/>
      <c r="B183" s="250"/>
      <c r="C183" s="250"/>
      <c r="D183" s="250"/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0"/>
      <c r="Z183" s="250"/>
      <c r="AA183" s="250"/>
      <c r="AB183" s="250"/>
      <c r="AC183" s="250"/>
      <c r="AD183" s="250"/>
      <c r="AE183" s="250"/>
      <c r="AF183" s="250"/>
      <c r="AG183" s="250"/>
    </row>
    <row r="184" spans="1:33">
      <c r="A184" s="250"/>
      <c r="B184" s="250"/>
      <c r="C184" s="250"/>
      <c r="D184" s="250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250"/>
      <c r="AG184" s="250"/>
    </row>
    <row r="185" spans="1:33">
      <c r="A185" s="250"/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  <c r="AA185" s="250"/>
      <c r="AB185" s="250"/>
      <c r="AC185" s="250"/>
      <c r="AD185" s="250"/>
      <c r="AE185" s="250"/>
      <c r="AF185" s="250"/>
      <c r="AG185" s="250"/>
    </row>
    <row r="186" spans="1:33">
      <c r="A186" s="250"/>
      <c r="B186" s="250"/>
      <c r="C186" s="250"/>
      <c r="D186" s="250"/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  <c r="R186" s="250"/>
      <c r="S186" s="250"/>
      <c r="T186" s="250"/>
      <c r="U186" s="250"/>
      <c r="V186" s="250"/>
      <c r="W186" s="250"/>
      <c r="X186" s="250"/>
      <c r="Y186" s="250"/>
      <c r="Z186" s="250"/>
      <c r="AA186" s="250"/>
      <c r="AB186" s="250"/>
      <c r="AC186" s="250"/>
      <c r="AD186" s="250"/>
      <c r="AE186" s="250"/>
      <c r="AF186" s="250"/>
      <c r="AG186" s="250"/>
    </row>
    <row r="187" spans="1:33">
      <c r="A187" s="25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0"/>
      <c r="Z187" s="250"/>
      <c r="AA187" s="250"/>
      <c r="AB187" s="250"/>
      <c r="AC187" s="250"/>
      <c r="AD187" s="250"/>
      <c r="AE187" s="250"/>
      <c r="AF187" s="250"/>
      <c r="AG187" s="250"/>
    </row>
    <row r="188" spans="1:33">
      <c r="A188" s="250"/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0"/>
      <c r="Z188" s="250"/>
      <c r="AA188" s="250"/>
      <c r="AB188" s="250"/>
      <c r="AC188" s="250"/>
      <c r="AD188" s="250"/>
      <c r="AE188" s="250"/>
      <c r="AF188" s="250"/>
      <c r="AG188" s="250"/>
    </row>
    <row r="189" spans="1:33">
      <c r="A189" s="250"/>
      <c r="B189" s="250"/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/>
      <c r="S189" s="250"/>
      <c r="T189" s="250"/>
      <c r="U189" s="250"/>
      <c r="V189" s="250"/>
      <c r="W189" s="250"/>
      <c r="X189" s="250"/>
      <c r="Y189" s="250"/>
      <c r="Z189" s="250"/>
      <c r="AA189" s="250"/>
      <c r="AB189" s="250"/>
      <c r="AC189" s="250"/>
      <c r="AD189" s="250"/>
      <c r="AE189" s="250"/>
      <c r="AF189" s="250"/>
      <c r="AG189" s="250"/>
    </row>
    <row r="190" spans="1:33">
      <c r="A190" s="250"/>
      <c r="B190" s="250"/>
      <c r="C190" s="250"/>
      <c r="D190" s="250"/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  <c r="R190" s="250"/>
      <c r="S190" s="250"/>
      <c r="T190" s="250"/>
      <c r="U190" s="250"/>
      <c r="V190" s="250"/>
      <c r="W190" s="250"/>
      <c r="X190" s="250"/>
      <c r="Y190" s="250"/>
      <c r="Z190" s="250"/>
      <c r="AA190" s="250"/>
      <c r="AB190" s="250"/>
      <c r="AC190" s="250"/>
      <c r="AD190" s="250"/>
      <c r="AE190" s="250"/>
      <c r="AF190" s="250"/>
      <c r="AG190" s="250"/>
    </row>
    <row r="191" spans="1:33">
      <c r="A191" s="250"/>
      <c r="B191" s="250"/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0"/>
      <c r="S191" s="250"/>
      <c r="T191" s="250"/>
      <c r="U191" s="250"/>
      <c r="V191" s="250"/>
      <c r="W191" s="250"/>
      <c r="X191" s="250"/>
      <c r="Y191" s="250"/>
      <c r="Z191" s="250"/>
      <c r="AA191" s="250"/>
      <c r="AB191" s="250"/>
      <c r="AC191" s="250"/>
      <c r="AD191" s="250"/>
      <c r="AE191" s="250"/>
      <c r="AF191" s="250"/>
      <c r="AG191" s="250"/>
    </row>
    <row r="192" spans="1:33">
      <c r="A192" s="250"/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  <c r="AA192" s="250"/>
      <c r="AB192" s="250"/>
      <c r="AC192" s="250"/>
      <c r="AD192" s="250"/>
      <c r="AE192" s="250"/>
      <c r="AF192" s="250"/>
      <c r="AG192" s="250"/>
    </row>
    <row r="193" spans="1:33">
      <c r="A193" s="250"/>
      <c r="B193" s="250"/>
      <c r="C193" s="250"/>
      <c r="D193" s="250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0"/>
      <c r="Z193" s="250"/>
      <c r="AA193" s="250"/>
      <c r="AB193" s="250"/>
      <c r="AC193" s="250"/>
      <c r="AD193" s="250"/>
      <c r="AE193" s="250"/>
      <c r="AF193" s="250"/>
      <c r="AG193" s="250"/>
    </row>
    <row r="194" spans="1:33">
      <c r="A194" s="250"/>
      <c r="B194" s="250"/>
      <c r="C194" s="250"/>
      <c r="D194" s="250"/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  <c r="R194" s="250"/>
      <c r="S194" s="250"/>
      <c r="T194" s="250"/>
      <c r="U194" s="250"/>
      <c r="V194" s="250"/>
      <c r="W194" s="250"/>
      <c r="X194" s="250"/>
      <c r="Y194" s="250"/>
      <c r="Z194" s="250"/>
      <c r="AA194" s="250"/>
      <c r="AB194" s="250"/>
      <c r="AC194" s="250"/>
      <c r="AD194" s="250"/>
      <c r="AE194" s="250"/>
      <c r="AF194" s="250"/>
      <c r="AG194" s="250"/>
    </row>
    <row r="195" spans="1:33">
      <c r="A195" s="250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0"/>
      <c r="Z195" s="250"/>
      <c r="AA195" s="250"/>
      <c r="AB195" s="250"/>
      <c r="AC195" s="250"/>
      <c r="AD195" s="250"/>
      <c r="AE195" s="250"/>
      <c r="AF195" s="250"/>
      <c r="AG195" s="250"/>
    </row>
    <row r="196" spans="1:33">
      <c r="A196" s="250"/>
      <c r="B196" s="250"/>
      <c r="C196" s="250"/>
      <c r="D196" s="250"/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  <c r="R196" s="250"/>
      <c r="S196" s="250"/>
      <c r="T196" s="250"/>
      <c r="U196" s="250"/>
      <c r="V196" s="250"/>
      <c r="W196" s="250"/>
      <c r="X196" s="250"/>
      <c r="Y196" s="250"/>
      <c r="Z196" s="250"/>
      <c r="AA196" s="250"/>
      <c r="AB196" s="250"/>
      <c r="AC196" s="250"/>
      <c r="AD196" s="250"/>
      <c r="AE196" s="250"/>
      <c r="AF196" s="250"/>
      <c r="AG196" s="250"/>
    </row>
    <row r="197" spans="1:33">
      <c r="A197" s="250"/>
      <c r="B197" s="250"/>
      <c r="C197" s="250"/>
      <c r="D197" s="250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0"/>
      <c r="Z197" s="250"/>
      <c r="AA197" s="250"/>
      <c r="AB197" s="250"/>
      <c r="AC197" s="250"/>
      <c r="AD197" s="250"/>
      <c r="AE197" s="250"/>
      <c r="AF197" s="250"/>
      <c r="AG197" s="250"/>
    </row>
    <row r="198" spans="1:33">
      <c r="A198" s="250"/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250"/>
      <c r="AG198" s="250"/>
    </row>
    <row r="199" spans="1:33">
      <c r="A199" s="250"/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0"/>
      <c r="S199" s="250"/>
      <c r="T199" s="250"/>
      <c r="U199" s="250"/>
      <c r="V199" s="250"/>
      <c r="W199" s="250"/>
      <c r="X199" s="250"/>
      <c r="Y199" s="250"/>
      <c r="Z199" s="250"/>
      <c r="AA199" s="250"/>
      <c r="AB199" s="250"/>
      <c r="AC199" s="250"/>
      <c r="AD199" s="250"/>
      <c r="AE199" s="250"/>
      <c r="AF199" s="250"/>
      <c r="AG199" s="250"/>
    </row>
    <row r="200" spans="1:33">
      <c r="A200" s="250"/>
      <c r="B200" s="250"/>
      <c r="C200" s="250"/>
      <c r="D200" s="250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  <c r="R200" s="250"/>
      <c r="S200" s="250"/>
      <c r="T200" s="250"/>
      <c r="U200" s="250"/>
      <c r="V200" s="250"/>
      <c r="W200" s="250"/>
      <c r="X200" s="250"/>
      <c r="Y200" s="250"/>
      <c r="Z200" s="250"/>
      <c r="AA200" s="250"/>
      <c r="AB200" s="250"/>
      <c r="AC200" s="250"/>
      <c r="AD200" s="250"/>
      <c r="AE200" s="250"/>
      <c r="AF200" s="250"/>
      <c r="AG200" s="250"/>
    </row>
    <row r="201" spans="1:33">
      <c r="A201" s="250"/>
      <c r="B201" s="250"/>
      <c r="C201" s="250"/>
      <c r="D201" s="250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0"/>
      <c r="S201" s="250"/>
      <c r="T201" s="250"/>
      <c r="U201" s="250"/>
      <c r="V201" s="250"/>
      <c r="W201" s="250"/>
      <c r="X201" s="250"/>
      <c r="Y201" s="250"/>
      <c r="Z201" s="250"/>
      <c r="AA201" s="250"/>
      <c r="AB201" s="250"/>
      <c r="AC201" s="250"/>
      <c r="AD201" s="250"/>
      <c r="AE201" s="250"/>
      <c r="AF201" s="250"/>
      <c r="AG201" s="250"/>
    </row>
    <row r="202" spans="1:33">
      <c r="A202" s="250"/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  <c r="AA202" s="250"/>
      <c r="AB202" s="250"/>
      <c r="AC202" s="250"/>
      <c r="AD202" s="250"/>
      <c r="AE202" s="250"/>
      <c r="AF202" s="250"/>
      <c r="AG202" s="250"/>
    </row>
    <row r="203" spans="1:33">
      <c r="A203" s="250"/>
      <c r="B203" s="250"/>
      <c r="C203" s="250"/>
      <c r="D203" s="250"/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50"/>
    </row>
    <row r="204" spans="1:33">
      <c r="A204" s="250"/>
      <c r="B204" s="250"/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250"/>
      <c r="AA204" s="250"/>
      <c r="AB204" s="250"/>
      <c r="AC204" s="250"/>
      <c r="AD204" s="250"/>
      <c r="AE204" s="250"/>
      <c r="AF204" s="250"/>
      <c r="AG204" s="250"/>
    </row>
    <row r="205" spans="1:33">
      <c r="A205" s="250"/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  <c r="AG205" s="250"/>
    </row>
    <row r="206" spans="1:33">
      <c r="A206" s="250"/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  <c r="AA206" s="250"/>
      <c r="AB206" s="250"/>
      <c r="AC206" s="250"/>
      <c r="AD206" s="250"/>
      <c r="AE206" s="250"/>
      <c r="AF206" s="250"/>
      <c r="AG206" s="250"/>
    </row>
    <row r="207" spans="1:33">
      <c r="A207" s="250"/>
      <c r="B207" s="250"/>
      <c r="C207" s="250"/>
      <c r="D207" s="250"/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0"/>
      <c r="Z207" s="250"/>
      <c r="AA207" s="250"/>
      <c r="AB207" s="250"/>
      <c r="AC207" s="250"/>
      <c r="AD207" s="250"/>
      <c r="AE207" s="250"/>
      <c r="AF207" s="250"/>
      <c r="AG207" s="250"/>
    </row>
    <row r="208" spans="1:33">
      <c r="A208" s="250"/>
      <c r="B208" s="250"/>
      <c r="C208" s="250"/>
      <c r="D208" s="250"/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  <c r="R208" s="250"/>
      <c r="S208" s="250"/>
      <c r="T208" s="250"/>
      <c r="U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250"/>
      <c r="AG208" s="250"/>
    </row>
    <row r="209" spans="1:33">
      <c r="A209" s="250"/>
      <c r="B209" s="250"/>
      <c r="C209" s="250"/>
      <c r="D209" s="250"/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250"/>
      <c r="AG209" s="250"/>
    </row>
    <row r="210" spans="1:33">
      <c r="A210" s="250"/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250"/>
      <c r="AG210" s="250"/>
    </row>
    <row r="211" spans="1:33">
      <c r="A211" s="250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0"/>
      <c r="Z211" s="250"/>
      <c r="AA211" s="250"/>
      <c r="AB211" s="250"/>
      <c r="AC211" s="250"/>
      <c r="AD211" s="250"/>
      <c r="AE211" s="250"/>
      <c r="AF211" s="250"/>
      <c r="AG211" s="250"/>
    </row>
    <row r="212" spans="1:33">
      <c r="A212" s="250"/>
      <c r="B212" s="250"/>
      <c r="C212" s="250"/>
      <c r="D212" s="250"/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  <c r="R212" s="250"/>
      <c r="S212" s="250"/>
      <c r="T212" s="250"/>
      <c r="U212" s="250"/>
      <c r="V212" s="250"/>
      <c r="W212" s="250"/>
      <c r="X212" s="250"/>
      <c r="Y212" s="250"/>
      <c r="Z212" s="250"/>
      <c r="AA212" s="250"/>
      <c r="AB212" s="250"/>
      <c r="AC212" s="250"/>
      <c r="AD212" s="250"/>
      <c r="AE212" s="250"/>
      <c r="AF212" s="250"/>
      <c r="AG212" s="250"/>
    </row>
    <row r="213" spans="1:33">
      <c r="A213" s="250"/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  <c r="AA213" s="250"/>
      <c r="AB213" s="250"/>
      <c r="AC213" s="250"/>
      <c r="AD213" s="250"/>
      <c r="AE213" s="250"/>
      <c r="AF213" s="250"/>
      <c r="AG213" s="250"/>
    </row>
    <row r="214" spans="1:33">
      <c r="A214" s="250"/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  <c r="R214" s="250"/>
      <c r="S214" s="250"/>
      <c r="T214" s="250"/>
      <c r="U214" s="250"/>
      <c r="V214" s="250"/>
      <c r="W214" s="250"/>
      <c r="X214" s="250"/>
      <c r="Y214" s="250"/>
      <c r="Z214" s="250"/>
      <c r="AA214" s="250"/>
      <c r="AB214" s="250"/>
      <c r="AC214" s="250"/>
      <c r="AD214" s="250"/>
      <c r="AE214" s="250"/>
      <c r="AF214" s="250"/>
      <c r="AG214" s="250"/>
    </row>
    <row r="215" spans="1:33">
      <c r="A215" s="250"/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  <c r="AA215" s="250"/>
      <c r="AB215" s="250"/>
      <c r="AC215" s="250"/>
      <c r="AD215" s="250"/>
      <c r="AE215" s="250"/>
      <c r="AF215" s="250"/>
      <c r="AG215" s="250"/>
    </row>
    <row r="216" spans="1:33">
      <c r="A216" s="250"/>
      <c r="B216" s="250"/>
      <c r="C216" s="250"/>
      <c r="D216" s="250"/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  <c r="R216" s="250"/>
      <c r="S216" s="250"/>
      <c r="T216" s="250"/>
      <c r="U216" s="250"/>
      <c r="V216" s="250"/>
      <c r="W216" s="250"/>
      <c r="X216" s="250"/>
      <c r="Y216" s="250"/>
      <c r="Z216" s="250"/>
      <c r="AA216" s="250"/>
      <c r="AB216" s="250"/>
      <c r="AC216" s="250"/>
      <c r="AD216" s="250"/>
      <c r="AE216" s="250"/>
      <c r="AF216" s="250"/>
      <c r="AG216" s="250"/>
    </row>
    <row r="217" spans="1:33">
      <c r="A217" s="250"/>
      <c r="B217" s="250"/>
      <c r="C217" s="250"/>
      <c r="D217" s="250"/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  <c r="R217" s="250"/>
      <c r="S217" s="250"/>
      <c r="T217" s="250"/>
      <c r="U217" s="250"/>
      <c r="V217" s="250"/>
      <c r="W217" s="250"/>
      <c r="X217" s="250"/>
      <c r="Y217" s="250"/>
      <c r="Z217" s="250"/>
      <c r="AA217" s="250"/>
      <c r="AB217" s="250"/>
      <c r="AC217" s="250"/>
      <c r="AD217" s="250"/>
      <c r="AE217" s="250"/>
      <c r="AF217" s="250"/>
      <c r="AG217" s="250"/>
    </row>
    <row r="218" spans="1:33">
      <c r="A218" s="250"/>
      <c r="B218" s="250"/>
      <c r="C218" s="250"/>
      <c r="D218" s="250"/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0"/>
      <c r="Z218" s="250"/>
      <c r="AA218" s="250"/>
      <c r="AB218" s="250"/>
      <c r="AC218" s="250"/>
      <c r="AD218" s="250"/>
      <c r="AE218" s="250"/>
      <c r="AF218" s="250"/>
      <c r="AG218" s="250"/>
    </row>
    <row r="219" spans="1:33">
      <c r="A219" s="250"/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  <c r="AA219" s="250"/>
      <c r="AB219" s="250"/>
      <c r="AC219" s="250"/>
      <c r="AD219" s="250"/>
      <c r="AE219" s="250"/>
      <c r="AF219" s="250"/>
      <c r="AG219" s="250"/>
    </row>
    <row r="220" spans="1:33">
      <c r="A220" s="250"/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  <c r="AA220" s="250"/>
      <c r="AB220" s="250"/>
      <c r="AC220" s="250"/>
      <c r="AD220" s="250"/>
      <c r="AE220" s="250"/>
      <c r="AF220" s="250"/>
      <c r="AG220" s="250"/>
    </row>
    <row r="221" spans="1:33">
      <c r="A221" s="250"/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250"/>
      <c r="AG221" s="250"/>
    </row>
    <row r="222" spans="1:33">
      <c r="A222" s="250"/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  <c r="AA222" s="250"/>
      <c r="AB222" s="250"/>
      <c r="AC222" s="250"/>
      <c r="AD222" s="250"/>
      <c r="AE222" s="250"/>
      <c r="AF222" s="250"/>
      <c r="AG222" s="250"/>
    </row>
    <row r="223" spans="1:33">
      <c r="A223" s="250"/>
      <c r="B223" s="250"/>
      <c r="C223" s="250"/>
      <c r="D223" s="250"/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  <c r="R223" s="250"/>
      <c r="S223" s="250"/>
      <c r="T223" s="250"/>
      <c r="U223" s="250"/>
      <c r="V223" s="250"/>
      <c r="W223" s="250"/>
      <c r="X223" s="250"/>
      <c r="Y223" s="250"/>
      <c r="Z223" s="250"/>
      <c r="AA223" s="250"/>
      <c r="AB223" s="250"/>
      <c r="AC223" s="250"/>
      <c r="AD223" s="250"/>
      <c r="AE223" s="250"/>
      <c r="AF223" s="250"/>
      <c r="AG223" s="250"/>
    </row>
    <row r="224" spans="1:33">
      <c r="A224" s="250"/>
      <c r="B224" s="250"/>
      <c r="C224" s="250"/>
      <c r="D224" s="250"/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  <c r="R224" s="250"/>
      <c r="S224" s="250"/>
      <c r="T224" s="250"/>
      <c r="U224" s="250"/>
      <c r="V224" s="250"/>
      <c r="W224" s="250"/>
      <c r="X224" s="250"/>
      <c r="Y224" s="250"/>
      <c r="Z224" s="250"/>
      <c r="AA224" s="250"/>
      <c r="AB224" s="250"/>
      <c r="AC224" s="250"/>
      <c r="AD224" s="250"/>
      <c r="AE224" s="250"/>
      <c r="AF224" s="250"/>
      <c r="AG224" s="250"/>
    </row>
    <row r="225" spans="1:33">
      <c r="A225" s="250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0"/>
      <c r="X225" s="250"/>
      <c r="Y225" s="250"/>
      <c r="Z225" s="250"/>
      <c r="AA225" s="250"/>
      <c r="AB225" s="250"/>
      <c r="AC225" s="250"/>
      <c r="AD225" s="250"/>
      <c r="AE225" s="250"/>
      <c r="AF225" s="250"/>
      <c r="AG225" s="250"/>
    </row>
    <row r="226" spans="1:33">
      <c r="A226" s="250"/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  <c r="AA226" s="250"/>
      <c r="AB226" s="250"/>
      <c r="AC226" s="250"/>
      <c r="AD226" s="250"/>
      <c r="AE226" s="250"/>
      <c r="AF226" s="250"/>
      <c r="AG226" s="250"/>
    </row>
    <row r="227" spans="1:33">
      <c r="A227" s="250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  <c r="AA227" s="250"/>
      <c r="AB227" s="250"/>
      <c r="AC227" s="250"/>
      <c r="AD227" s="250"/>
      <c r="AE227" s="250"/>
      <c r="AF227" s="250"/>
      <c r="AG227" s="250"/>
    </row>
    <row r="228" spans="1:33">
      <c r="A228" s="250"/>
      <c r="B228" s="250"/>
      <c r="C228" s="250"/>
      <c r="D228" s="250"/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50"/>
      <c r="X228" s="250"/>
      <c r="Y228" s="250"/>
      <c r="Z228" s="250"/>
      <c r="AA228" s="250"/>
      <c r="AB228" s="250"/>
      <c r="AC228" s="250"/>
      <c r="AD228" s="250"/>
      <c r="AE228" s="250"/>
      <c r="AF228" s="250"/>
      <c r="AG228" s="250"/>
    </row>
    <row r="229" spans="1:33">
      <c r="A229" s="250"/>
      <c r="B229" s="250"/>
      <c r="C229" s="250"/>
      <c r="D229" s="250"/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  <c r="R229" s="250"/>
      <c r="S229" s="250"/>
      <c r="T229" s="250"/>
      <c r="U229" s="250"/>
      <c r="V229" s="250"/>
      <c r="W229" s="250"/>
      <c r="X229" s="250"/>
      <c r="Y229" s="250"/>
      <c r="Z229" s="250"/>
      <c r="AA229" s="250"/>
      <c r="AB229" s="250"/>
      <c r="AC229" s="250"/>
      <c r="AD229" s="250"/>
      <c r="AE229" s="250"/>
      <c r="AF229" s="250"/>
      <c r="AG229" s="250"/>
    </row>
    <row r="230" spans="1:33">
      <c r="A230" s="250"/>
      <c r="B230" s="250"/>
      <c r="C230" s="250"/>
      <c r="D230" s="250"/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0"/>
      <c r="Z230" s="250"/>
      <c r="AA230" s="250"/>
      <c r="AB230" s="250"/>
      <c r="AC230" s="250"/>
      <c r="AD230" s="250"/>
      <c r="AE230" s="250"/>
      <c r="AF230" s="250"/>
      <c r="AG230" s="250"/>
    </row>
    <row r="231" spans="1:33">
      <c r="A231" s="250"/>
      <c r="B231" s="250"/>
      <c r="C231" s="250"/>
      <c r="D231" s="250"/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0"/>
      <c r="Z231" s="250"/>
      <c r="AA231" s="250"/>
      <c r="AB231" s="250"/>
      <c r="AC231" s="250"/>
      <c r="AD231" s="250"/>
      <c r="AE231" s="250"/>
      <c r="AF231" s="250"/>
      <c r="AG231" s="250"/>
    </row>
    <row r="232" spans="1:33">
      <c r="A232" s="250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0"/>
      <c r="X232" s="250"/>
      <c r="Y232" s="250"/>
      <c r="Z232" s="250"/>
      <c r="AA232" s="250"/>
      <c r="AB232" s="250"/>
      <c r="AC232" s="250"/>
      <c r="AD232" s="250"/>
      <c r="AE232" s="250"/>
      <c r="AF232" s="250"/>
      <c r="AG232" s="250"/>
    </row>
    <row r="233" spans="1:33">
      <c r="A233" s="250"/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  <c r="AA233" s="250"/>
      <c r="AB233" s="250"/>
      <c r="AC233" s="250"/>
      <c r="AD233" s="250"/>
      <c r="AE233" s="250"/>
      <c r="AF233" s="250"/>
      <c r="AG233" s="250"/>
    </row>
    <row r="234" spans="1:33">
      <c r="A234" s="250"/>
      <c r="B234" s="250"/>
      <c r="C234" s="250"/>
      <c r="D234" s="250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0"/>
      <c r="Z234" s="250"/>
      <c r="AA234" s="250"/>
      <c r="AB234" s="250"/>
      <c r="AC234" s="250"/>
      <c r="AD234" s="250"/>
      <c r="AE234" s="250"/>
      <c r="AF234" s="250"/>
      <c r="AG234" s="250"/>
    </row>
    <row r="235" spans="1:33">
      <c r="A235" s="250"/>
      <c r="B235" s="250"/>
      <c r="C235" s="250"/>
      <c r="D235" s="250"/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  <c r="R235" s="250"/>
      <c r="S235" s="250"/>
      <c r="T235" s="250"/>
      <c r="U235" s="250"/>
      <c r="V235" s="250"/>
      <c r="W235" s="250"/>
      <c r="X235" s="250"/>
      <c r="Y235" s="250"/>
      <c r="Z235" s="250"/>
      <c r="AA235" s="250"/>
      <c r="AB235" s="250"/>
      <c r="AC235" s="250"/>
      <c r="AD235" s="250"/>
      <c r="AE235" s="250"/>
      <c r="AF235" s="250"/>
      <c r="AG235" s="250"/>
    </row>
    <row r="236" spans="1:33">
      <c r="A236" s="250"/>
      <c r="B236" s="250"/>
      <c r="C236" s="250"/>
      <c r="D236" s="250"/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  <c r="R236" s="250"/>
      <c r="S236" s="250"/>
      <c r="T236" s="250"/>
      <c r="U236" s="250"/>
      <c r="V236" s="250"/>
      <c r="W236" s="250"/>
      <c r="X236" s="250"/>
      <c r="Y236" s="250"/>
      <c r="Z236" s="250"/>
      <c r="AA236" s="250"/>
      <c r="AB236" s="250"/>
      <c r="AC236" s="250"/>
      <c r="AD236" s="250"/>
      <c r="AE236" s="250"/>
      <c r="AF236" s="250"/>
      <c r="AG236" s="250"/>
    </row>
    <row r="237" spans="1:33">
      <c r="A237" s="250"/>
      <c r="B237" s="250"/>
      <c r="C237" s="250"/>
      <c r="D237" s="250"/>
      <c r="E237" s="250"/>
      <c r="F237" s="250"/>
      <c r="G237" s="250"/>
      <c r="H237" s="250"/>
      <c r="I237" s="250"/>
      <c r="J237" s="250"/>
      <c r="K237" s="250"/>
      <c r="L237" s="250"/>
      <c r="M237" s="250"/>
      <c r="N237" s="250"/>
      <c r="O237" s="250"/>
      <c r="P237" s="250"/>
      <c r="Q237" s="250"/>
      <c r="R237" s="250"/>
      <c r="S237" s="250"/>
      <c r="T237" s="250"/>
      <c r="U237" s="250"/>
      <c r="V237" s="250"/>
      <c r="W237" s="250"/>
      <c r="X237" s="250"/>
      <c r="Y237" s="250"/>
      <c r="Z237" s="250"/>
      <c r="AA237" s="250"/>
      <c r="AB237" s="250"/>
      <c r="AC237" s="250"/>
      <c r="AD237" s="250"/>
      <c r="AE237" s="250"/>
      <c r="AF237" s="250"/>
      <c r="AG237" s="250"/>
    </row>
    <row r="238" spans="1:33">
      <c r="A238" s="250"/>
      <c r="B238" s="250"/>
      <c r="C238" s="250"/>
      <c r="D238" s="250"/>
      <c r="E238" s="250"/>
      <c r="F238" s="250"/>
      <c r="G238" s="250"/>
      <c r="H238" s="250"/>
      <c r="I238" s="250"/>
      <c r="J238" s="250"/>
      <c r="K238" s="250"/>
      <c r="L238" s="250"/>
      <c r="M238" s="250"/>
      <c r="N238" s="250"/>
      <c r="O238" s="250"/>
      <c r="P238" s="250"/>
      <c r="Q238" s="250"/>
      <c r="R238" s="250"/>
      <c r="S238" s="250"/>
      <c r="T238" s="250"/>
      <c r="U238" s="250"/>
      <c r="V238" s="250"/>
      <c r="W238" s="250"/>
      <c r="X238" s="250"/>
      <c r="Y238" s="250"/>
      <c r="Z238" s="250"/>
      <c r="AA238" s="250"/>
      <c r="AB238" s="250"/>
      <c r="AC238" s="250"/>
      <c r="AD238" s="250"/>
      <c r="AE238" s="250"/>
      <c r="AF238" s="250"/>
      <c r="AG238" s="250"/>
    </row>
    <row r="239" spans="1:33">
      <c r="A239" s="250"/>
      <c r="B239" s="250"/>
      <c r="C239" s="250"/>
      <c r="D239" s="250"/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0"/>
      <c r="AA239" s="250"/>
      <c r="AB239" s="250"/>
      <c r="AC239" s="250"/>
      <c r="AD239" s="250"/>
      <c r="AE239" s="250"/>
      <c r="AF239" s="250"/>
      <c r="AG239" s="250"/>
    </row>
    <row r="240" spans="1:33">
      <c r="A240" s="250"/>
      <c r="B240" s="250"/>
      <c r="C240" s="250"/>
      <c r="D240" s="250"/>
      <c r="E240" s="250"/>
      <c r="F240" s="250"/>
      <c r="G240" s="250"/>
      <c r="H240" s="250"/>
      <c r="I240" s="250"/>
      <c r="J240" s="250"/>
      <c r="K240" s="250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0"/>
      <c r="Z240" s="250"/>
      <c r="AA240" s="250"/>
      <c r="AB240" s="250"/>
      <c r="AC240" s="250"/>
      <c r="AD240" s="250"/>
      <c r="AE240" s="250"/>
      <c r="AF240" s="250"/>
      <c r="AG240" s="250"/>
    </row>
    <row r="241" spans="1:33">
      <c r="A241" s="250"/>
      <c r="B241" s="250"/>
      <c r="C241" s="250"/>
      <c r="D241" s="250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0"/>
      <c r="AA241" s="250"/>
      <c r="AB241" s="250"/>
      <c r="AC241" s="250"/>
      <c r="AD241" s="250"/>
      <c r="AE241" s="250"/>
      <c r="AF241" s="250"/>
      <c r="AG241" s="250"/>
    </row>
    <row r="242" spans="1:33">
      <c r="A242" s="250"/>
      <c r="B242" s="250"/>
      <c r="C242" s="250"/>
      <c r="D242" s="250"/>
      <c r="E242" s="250"/>
      <c r="F242" s="250"/>
      <c r="G242" s="250"/>
      <c r="H242" s="250"/>
      <c r="I242" s="250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0"/>
      <c r="AA242" s="250"/>
      <c r="AB242" s="250"/>
      <c r="AC242" s="250"/>
      <c r="AD242" s="250"/>
      <c r="AE242" s="250"/>
      <c r="AF242" s="250"/>
      <c r="AG242" s="250"/>
    </row>
    <row r="243" spans="1:33">
      <c r="A243" s="250"/>
      <c r="B243" s="250"/>
      <c r="C243" s="250"/>
      <c r="D243" s="250"/>
      <c r="E243" s="250"/>
      <c r="F243" s="250"/>
      <c r="G243" s="250"/>
      <c r="H243" s="250"/>
      <c r="I243" s="250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  <c r="AA243" s="250"/>
      <c r="AB243" s="250"/>
      <c r="AC243" s="250"/>
      <c r="AD243" s="250"/>
      <c r="AE243" s="250"/>
      <c r="AF243" s="250"/>
      <c r="AG243" s="250"/>
    </row>
    <row r="244" spans="1:33">
      <c r="A244" s="250"/>
      <c r="B244" s="250"/>
      <c r="C244" s="250"/>
      <c r="D244" s="250"/>
      <c r="E244" s="250"/>
      <c r="F244" s="250"/>
      <c r="G244" s="250"/>
      <c r="H244" s="250"/>
      <c r="I244" s="250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0"/>
      <c r="Z244" s="250"/>
      <c r="AA244" s="250"/>
      <c r="AB244" s="250"/>
      <c r="AC244" s="250"/>
      <c r="AD244" s="250"/>
      <c r="AE244" s="250"/>
      <c r="AF244" s="250"/>
      <c r="AG244" s="250"/>
    </row>
    <row r="245" spans="1:33">
      <c r="A245" s="250"/>
      <c r="B245" s="250"/>
      <c r="C245" s="250"/>
      <c r="D245" s="250"/>
      <c r="E245" s="250"/>
      <c r="F245" s="250"/>
      <c r="G245" s="250"/>
      <c r="H245" s="250"/>
      <c r="I245" s="250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0"/>
      <c r="Z245" s="250"/>
      <c r="AA245" s="250"/>
      <c r="AB245" s="250"/>
      <c r="AC245" s="250"/>
      <c r="AD245" s="250"/>
      <c r="AE245" s="250"/>
      <c r="AF245" s="250"/>
      <c r="AG245" s="250"/>
    </row>
    <row r="246" spans="1:33">
      <c r="A246" s="250"/>
      <c r="B246" s="250"/>
      <c r="C246" s="250"/>
      <c r="D246" s="250"/>
      <c r="E246" s="250"/>
      <c r="F246" s="250"/>
      <c r="G246" s="250"/>
      <c r="H246" s="250"/>
      <c r="I246" s="250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0"/>
      <c r="AA246" s="250"/>
      <c r="AB246" s="250"/>
      <c r="AC246" s="250"/>
      <c r="AD246" s="250"/>
      <c r="AE246" s="250"/>
      <c r="AF246" s="250"/>
      <c r="AG246" s="250"/>
    </row>
    <row r="247" spans="1:33">
      <c r="A247" s="250"/>
      <c r="B247" s="250"/>
      <c r="C247" s="250"/>
      <c r="D247" s="250"/>
      <c r="E247" s="250"/>
      <c r="F247" s="250"/>
      <c r="G247" s="250"/>
      <c r="H247" s="250"/>
      <c r="I247" s="250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0"/>
      <c r="AA247" s="250"/>
      <c r="AB247" s="250"/>
      <c r="AC247" s="250"/>
      <c r="AD247" s="250"/>
      <c r="AE247" s="250"/>
      <c r="AF247" s="250"/>
      <c r="AG247" s="250"/>
    </row>
    <row r="248" spans="1:33">
      <c r="A248" s="250"/>
      <c r="B248" s="250"/>
      <c r="C248" s="250"/>
      <c r="D248" s="250"/>
      <c r="E248" s="250"/>
      <c r="F248" s="250"/>
      <c r="G248" s="250"/>
      <c r="H248" s="250"/>
      <c r="I248" s="250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  <c r="AA248" s="250"/>
      <c r="AB248" s="250"/>
      <c r="AC248" s="250"/>
      <c r="AD248" s="250"/>
      <c r="AE248" s="250"/>
      <c r="AF248" s="250"/>
      <c r="AG248" s="250"/>
    </row>
    <row r="249" spans="1:33">
      <c r="A249" s="250"/>
      <c r="B249" s="250"/>
      <c r="C249" s="250"/>
      <c r="D249" s="250"/>
      <c r="E249" s="250"/>
      <c r="F249" s="250"/>
      <c r="G249" s="250"/>
      <c r="H249" s="250"/>
      <c r="I249" s="250"/>
      <c r="J249" s="250"/>
      <c r="K249" s="250"/>
      <c r="L249" s="250"/>
      <c r="M249" s="250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0"/>
      <c r="Z249" s="250"/>
      <c r="AA249" s="250"/>
      <c r="AB249" s="250"/>
      <c r="AC249" s="250"/>
      <c r="AD249" s="250"/>
      <c r="AE249" s="250"/>
      <c r="AF249" s="250"/>
      <c r="AG249" s="250"/>
    </row>
    <row r="250" spans="1:33">
      <c r="A250" s="250"/>
      <c r="B250" s="250"/>
      <c r="C250" s="250"/>
      <c r="D250" s="250"/>
      <c r="E250" s="250"/>
      <c r="F250" s="250"/>
      <c r="G250" s="250"/>
      <c r="H250" s="250"/>
      <c r="I250" s="250"/>
      <c r="J250" s="250"/>
      <c r="K250" s="250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0"/>
      <c r="AA250" s="250"/>
      <c r="AB250" s="250"/>
      <c r="AC250" s="250"/>
      <c r="AD250" s="250"/>
      <c r="AE250" s="250"/>
      <c r="AF250" s="250"/>
      <c r="AG250" s="250"/>
    </row>
    <row r="251" spans="1:33">
      <c r="A251" s="250"/>
      <c r="B251" s="250"/>
      <c r="C251" s="250"/>
      <c r="D251" s="250"/>
      <c r="E251" s="250"/>
      <c r="F251" s="250"/>
      <c r="G251" s="250"/>
      <c r="H251" s="250"/>
      <c r="I251" s="250"/>
      <c r="J251" s="250"/>
      <c r="K251" s="250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0"/>
      <c r="AA251" s="250"/>
      <c r="AB251" s="250"/>
      <c r="AC251" s="250"/>
      <c r="AD251" s="250"/>
      <c r="AE251" s="250"/>
      <c r="AF251" s="250"/>
      <c r="AG251" s="250"/>
    </row>
    <row r="252" spans="1:33">
      <c r="A252" s="250"/>
      <c r="B252" s="250"/>
      <c r="C252" s="250"/>
      <c r="D252" s="250"/>
      <c r="E252" s="250"/>
      <c r="F252" s="250"/>
      <c r="G252" s="250"/>
      <c r="H252" s="250"/>
      <c r="I252" s="250"/>
      <c r="J252" s="250"/>
      <c r="K252" s="250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250"/>
      <c r="AA252" s="250"/>
      <c r="AB252" s="250"/>
      <c r="AC252" s="250"/>
      <c r="AD252" s="250"/>
      <c r="AE252" s="250"/>
      <c r="AF252" s="250"/>
      <c r="AG252" s="250"/>
    </row>
    <row r="253" spans="1:33">
      <c r="A253" s="250"/>
      <c r="B253" s="250"/>
      <c r="C253" s="250"/>
      <c r="D253" s="250"/>
      <c r="E253" s="250"/>
      <c r="F253" s="250"/>
      <c r="G253" s="250"/>
      <c r="H253" s="250"/>
      <c r="I253" s="250"/>
      <c r="J253" s="250"/>
      <c r="K253" s="250"/>
      <c r="L253" s="250"/>
      <c r="M253" s="250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0"/>
      <c r="Z253" s="250"/>
      <c r="AA253" s="250"/>
      <c r="AB253" s="250"/>
      <c r="AC253" s="250"/>
      <c r="AD253" s="250"/>
      <c r="AE253" s="250"/>
      <c r="AF253" s="250"/>
      <c r="AG253" s="250"/>
    </row>
    <row r="254" spans="1:33">
      <c r="A254" s="250"/>
      <c r="B254" s="250"/>
      <c r="C254" s="250"/>
      <c r="D254" s="250"/>
      <c r="E254" s="250"/>
      <c r="F254" s="250"/>
      <c r="G254" s="250"/>
      <c r="H254" s="250"/>
      <c r="I254" s="250"/>
      <c r="J254" s="250"/>
      <c r="K254" s="250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0"/>
      <c r="AA254" s="250"/>
      <c r="AB254" s="250"/>
      <c r="AC254" s="250"/>
      <c r="AD254" s="250"/>
      <c r="AE254" s="250"/>
      <c r="AF254" s="250"/>
      <c r="AG254" s="250"/>
    </row>
    <row r="255" spans="1:33">
      <c r="A255" s="250"/>
      <c r="B255" s="250"/>
      <c r="C255" s="250"/>
      <c r="D255" s="250"/>
      <c r="E255" s="250"/>
      <c r="F255" s="250"/>
      <c r="G255" s="250"/>
      <c r="H255" s="250"/>
      <c r="I255" s="250"/>
      <c r="J255" s="250"/>
      <c r="K255" s="250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0"/>
      <c r="Z255" s="250"/>
      <c r="AA255" s="250"/>
      <c r="AB255" s="250"/>
      <c r="AC255" s="250"/>
      <c r="AD255" s="250"/>
      <c r="AE255" s="250"/>
      <c r="AF255" s="250"/>
      <c r="AG255" s="250"/>
    </row>
    <row r="256" spans="1:33">
      <c r="A256" s="250"/>
      <c r="B256" s="250"/>
      <c r="C256" s="250"/>
      <c r="D256" s="250"/>
      <c r="E256" s="250"/>
      <c r="F256" s="250"/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  <c r="R256" s="250"/>
      <c r="S256" s="250"/>
      <c r="T256" s="250"/>
      <c r="U256" s="250"/>
      <c r="V256" s="250"/>
      <c r="W256" s="250"/>
      <c r="X256" s="250"/>
      <c r="Y256" s="250"/>
      <c r="Z256" s="250"/>
      <c r="AA256" s="250"/>
      <c r="AB256" s="250"/>
      <c r="AC256" s="250"/>
      <c r="AD256" s="250"/>
      <c r="AE256" s="250"/>
      <c r="AF256" s="250"/>
      <c r="AG256" s="250"/>
    </row>
    <row r="257" spans="1:33">
      <c r="A257" s="250"/>
      <c r="B257" s="250"/>
      <c r="C257" s="250"/>
      <c r="D257" s="250"/>
      <c r="E257" s="250"/>
      <c r="F257" s="250"/>
      <c r="G257" s="250"/>
      <c r="H257" s="250"/>
      <c r="I257" s="250"/>
      <c r="J257" s="250"/>
      <c r="K257" s="250"/>
      <c r="L257" s="250"/>
      <c r="M257" s="250"/>
      <c r="N257" s="250"/>
      <c r="O257" s="250"/>
      <c r="P257" s="250"/>
      <c r="Q257" s="250"/>
      <c r="R257" s="250"/>
      <c r="S257" s="250"/>
      <c r="T257" s="250"/>
      <c r="U257" s="250"/>
      <c r="V257" s="250"/>
      <c r="W257" s="250"/>
      <c r="X257" s="250"/>
      <c r="Y257" s="250"/>
      <c r="Z257" s="250"/>
      <c r="AA257" s="250"/>
      <c r="AB257" s="250"/>
      <c r="AC257" s="250"/>
      <c r="AD257" s="250"/>
      <c r="AE257" s="250"/>
      <c r="AF257" s="250"/>
      <c r="AG257" s="250"/>
    </row>
    <row r="258" spans="1:33">
      <c r="A258" s="250"/>
      <c r="B258" s="250"/>
      <c r="C258" s="250"/>
      <c r="D258" s="250"/>
      <c r="E258" s="250"/>
      <c r="F258" s="250"/>
      <c r="G258" s="250"/>
      <c r="H258" s="250"/>
      <c r="I258" s="250"/>
      <c r="J258" s="250"/>
      <c r="K258" s="250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0"/>
      <c r="Z258" s="250"/>
      <c r="AA258" s="250"/>
      <c r="AB258" s="250"/>
      <c r="AC258" s="250"/>
      <c r="AD258" s="250"/>
      <c r="AE258" s="250"/>
      <c r="AF258" s="250"/>
      <c r="AG258" s="250"/>
    </row>
    <row r="259" spans="1:33">
      <c r="A259" s="250"/>
      <c r="B259" s="250"/>
      <c r="C259" s="250"/>
      <c r="D259" s="250"/>
      <c r="E259" s="250"/>
      <c r="F259" s="250"/>
      <c r="G259" s="250"/>
      <c r="H259" s="250"/>
      <c r="I259" s="250"/>
      <c r="J259" s="250"/>
      <c r="K259" s="250"/>
      <c r="L259" s="250"/>
      <c r="M259" s="250"/>
      <c r="N259" s="250"/>
      <c r="O259" s="250"/>
      <c r="P259" s="250"/>
      <c r="Q259" s="250"/>
      <c r="R259" s="250"/>
      <c r="S259" s="250"/>
      <c r="T259" s="250"/>
      <c r="U259" s="250"/>
      <c r="V259" s="250"/>
      <c r="W259" s="250"/>
      <c r="X259" s="250"/>
      <c r="Y259" s="250"/>
      <c r="Z259" s="250"/>
      <c r="AA259" s="250"/>
      <c r="AB259" s="250"/>
      <c r="AC259" s="250"/>
      <c r="AD259" s="250"/>
      <c r="AE259" s="250"/>
      <c r="AF259" s="250"/>
      <c r="AG259" s="250"/>
    </row>
    <row r="260" spans="1:33">
      <c r="A260" s="250"/>
      <c r="B260" s="250"/>
      <c r="C260" s="250"/>
      <c r="D260" s="250"/>
      <c r="E260" s="250"/>
      <c r="F260" s="250"/>
      <c r="G260" s="250"/>
      <c r="H260" s="250"/>
      <c r="I260" s="250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0"/>
      <c r="Z260" s="250"/>
      <c r="AA260" s="250"/>
      <c r="AB260" s="250"/>
      <c r="AC260" s="250"/>
      <c r="AD260" s="250"/>
      <c r="AE260" s="250"/>
      <c r="AF260" s="250"/>
      <c r="AG260" s="250"/>
    </row>
    <row r="261" spans="1:33">
      <c r="A261" s="250"/>
      <c r="B261" s="250"/>
      <c r="C261" s="250"/>
      <c r="D261" s="250"/>
      <c r="E261" s="250"/>
      <c r="F261" s="250"/>
      <c r="G261" s="250"/>
      <c r="H261" s="250"/>
      <c r="I261" s="250"/>
      <c r="J261" s="250"/>
      <c r="K261" s="250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0"/>
      <c r="Z261" s="250"/>
      <c r="AA261" s="250"/>
      <c r="AB261" s="250"/>
      <c r="AC261" s="250"/>
      <c r="AD261" s="250"/>
      <c r="AE261" s="250"/>
      <c r="AF261" s="250"/>
      <c r="AG261" s="250"/>
    </row>
    <row r="262" spans="1:33">
      <c r="A262" s="250"/>
      <c r="B262" s="250"/>
      <c r="C262" s="250"/>
      <c r="D262" s="250"/>
      <c r="E262" s="250"/>
      <c r="F262" s="250"/>
      <c r="G262" s="250"/>
      <c r="H262" s="250"/>
      <c r="I262" s="250"/>
      <c r="J262" s="250"/>
      <c r="K262" s="250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0"/>
      <c r="Z262" s="250"/>
      <c r="AA262" s="250"/>
      <c r="AB262" s="250"/>
      <c r="AC262" s="250"/>
      <c r="AD262" s="250"/>
      <c r="AE262" s="250"/>
      <c r="AF262" s="250"/>
      <c r="AG262" s="250"/>
    </row>
    <row r="263" spans="1:33">
      <c r="A263" s="250"/>
      <c r="B263" s="250"/>
      <c r="C263" s="250"/>
      <c r="D263" s="250"/>
      <c r="E263" s="250"/>
      <c r="F263" s="250"/>
      <c r="G263" s="250"/>
      <c r="H263" s="250"/>
      <c r="I263" s="250"/>
      <c r="J263" s="250"/>
      <c r="K263" s="250"/>
      <c r="L263" s="250"/>
      <c r="M263" s="250"/>
      <c r="N263" s="250"/>
      <c r="O263" s="250"/>
      <c r="P263" s="250"/>
      <c r="Q263" s="250"/>
      <c r="R263" s="250"/>
      <c r="S263" s="250"/>
      <c r="T263" s="250"/>
      <c r="U263" s="250"/>
      <c r="V263" s="250"/>
      <c r="W263" s="250"/>
      <c r="X263" s="250"/>
      <c r="Y263" s="250"/>
      <c r="Z263" s="250"/>
      <c r="AA263" s="250"/>
      <c r="AB263" s="250"/>
      <c r="AC263" s="250"/>
      <c r="AD263" s="250"/>
      <c r="AE263" s="250"/>
      <c r="AF263" s="250"/>
      <c r="AG263" s="250"/>
    </row>
    <row r="264" spans="1:33">
      <c r="A264" s="250"/>
      <c r="B264" s="250"/>
      <c r="C264" s="250"/>
      <c r="D264" s="250"/>
      <c r="E264" s="250"/>
      <c r="F264" s="250"/>
      <c r="G264" s="250"/>
      <c r="H264" s="250"/>
      <c r="I264" s="250"/>
      <c r="J264" s="250"/>
      <c r="K264" s="250"/>
      <c r="L264" s="250"/>
      <c r="M264" s="250"/>
      <c r="N264" s="250"/>
      <c r="O264" s="250"/>
      <c r="P264" s="250"/>
      <c r="Q264" s="250"/>
      <c r="R264" s="250"/>
      <c r="S264" s="250"/>
      <c r="T264" s="250"/>
      <c r="U264" s="250"/>
      <c r="V264" s="250"/>
      <c r="W264" s="250"/>
      <c r="X264" s="250"/>
      <c r="Y264" s="250"/>
      <c r="Z264" s="250"/>
      <c r="AA264" s="250"/>
      <c r="AB264" s="250"/>
      <c r="AC264" s="250"/>
      <c r="AD264" s="250"/>
      <c r="AE264" s="250"/>
      <c r="AF264" s="250"/>
      <c r="AG264" s="250"/>
    </row>
    <row r="265" spans="1:33">
      <c r="A265" s="250"/>
      <c r="B265" s="250"/>
      <c r="C265" s="250"/>
      <c r="D265" s="250"/>
      <c r="E265" s="250"/>
      <c r="F265" s="250"/>
      <c r="G265" s="250"/>
      <c r="H265" s="250"/>
      <c r="I265" s="250"/>
      <c r="J265" s="250"/>
      <c r="K265" s="250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0"/>
      <c r="Z265" s="250"/>
      <c r="AA265" s="250"/>
      <c r="AB265" s="250"/>
      <c r="AC265" s="250"/>
      <c r="AD265" s="250"/>
      <c r="AE265" s="250"/>
      <c r="AF265" s="250"/>
      <c r="AG265" s="250"/>
    </row>
    <row r="266" spans="1:33">
      <c r="A266" s="250"/>
      <c r="B266" s="250"/>
      <c r="C266" s="250"/>
      <c r="D266" s="250"/>
      <c r="E266" s="250"/>
      <c r="F266" s="250"/>
      <c r="G266" s="250"/>
      <c r="H266" s="250"/>
      <c r="I266" s="250"/>
      <c r="J266" s="250"/>
      <c r="K266" s="250"/>
      <c r="L266" s="250"/>
      <c r="M266" s="250"/>
      <c r="N266" s="250"/>
      <c r="O266" s="250"/>
      <c r="P266" s="250"/>
      <c r="Q266" s="250"/>
      <c r="R266" s="250"/>
      <c r="S266" s="250"/>
      <c r="T266" s="250"/>
      <c r="U266" s="250"/>
      <c r="V266" s="250"/>
      <c r="W266" s="250"/>
      <c r="X266" s="250"/>
      <c r="Y266" s="250"/>
      <c r="Z266" s="250"/>
      <c r="AA266" s="250"/>
      <c r="AB266" s="250"/>
      <c r="AC266" s="250"/>
      <c r="AD266" s="250"/>
      <c r="AE266" s="250"/>
      <c r="AF266" s="250"/>
      <c r="AG266" s="250"/>
    </row>
    <row r="267" spans="1:33">
      <c r="A267" s="250"/>
      <c r="B267" s="250"/>
      <c r="C267" s="250"/>
      <c r="D267" s="250"/>
      <c r="E267" s="250"/>
      <c r="F267" s="250"/>
      <c r="G267" s="250"/>
      <c r="H267" s="250"/>
      <c r="I267" s="250"/>
      <c r="J267" s="250"/>
      <c r="K267" s="250"/>
      <c r="L267" s="250"/>
      <c r="M267" s="250"/>
      <c r="N267" s="250"/>
      <c r="O267" s="250"/>
      <c r="P267" s="250"/>
      <c r="Q267" s="250"/>
      <c r="R267" s="250"/>
      <c r="S267" s="250"/>
      <c r="T267" s="250"/>
      <c r="U267" s="250"/>
      <c r="V267" s="250"/>
      <c r="W267" s="250"/>
      <c r="X267" s="250"/>
      <c r="Y267" s="250"/>
      <c r="Z267" s="250"/>
      <c r="AA267" s="250"/>
      <c r="AB267" s="250"/>
      <c r="AC267" s="250"/>
      <c r="AD267" s="250"/>
      <c r="AE267" s="250"/>
      <c r="AF267" s="250"/>
      <c r="AG267" s="250"/>
    </row>
    <row r="268" spans="1:33">
      <c r="A268" s="250"/>
      <c r="B268" s="250"/>
      <c r="C268" s="250"/>
      <c r="D268" s="250"/>
      <c r="E268" s="250"/>
      <c r="F268" s="250"/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  <c r="R268" s="250"/>
      <c r="S268" s="250"/>
      <c r="T268" s="250"/>
      <c r="U268" s="250"/>
      <c r="V268" s="250"/>
      <c r="W268" s="250"/>
      <c r="X268" s="250"/>
      <c r="Y268" s="250"/>
      <c r="Z268" s="250"/>
      <c r="AA268" s="250"/>
      <c r="AB268" s="250"/>
      <c r="AC268" s="250"/>
      <c r="AD268" s="250"/>
      <c r="AE268" s="250"/>
      <c r="AF268" s="250"/>
      <c r="AG268" s="250"/>
    </row>
    <row r="269" spans="1:33">
      <c r="A269" s="250"/>
      <c r="B269" s="250"/>
      <c r="C269" s="250"/>
      <c r="D269" s="250"/>
      <c r="E269" s="250"/>
      <c r="F269" s="250"/>
      <c r="G269" s="250"/>
      <c r="H269" s="250"/>
      <c r="I269" s="250"/>
      <c r="J269" s="250"/>
      <c r="K269" s="250"/>
      <c r="L269" s="250"/>
      <c r="M269" s="250"/>
      <c r="N269" s="250"/>
      <c r="O269" s="250"/>
      <c r="P269" s="250"/>
      <c r="Q269" s="250"/>
      <c r="R269" s="250"/>
      <c r="S269" s="250"/>
      <c r="T269" s="250"/>
      <c r="U269" s="250"/>
      <c r="V269" s="250"/>
      <c r="W269" s="250"/>
      <c r="X269" s="250"/>
      <c r="Y269" s="250"/>
      <c r="Z269" s="250"/>
      <c r="AA269" s="250"/>
      <c r="AB269" s="250"/>
      <c r="AC269" s="250"/>
      <c r="AD269" s="250"/>
      <c r="AE269" s="250"/>
      <c r="AF269" s="250"/>
      <c r="AG269" s="250"/>
    </row>
    <row r="270" spans="1:33">
      <c r="A270" s="250"/>
      <c r="B270" s="250"/>
      <c r="C270" s="250"/>
      <c r="D270" s="250"/>
      <c r="E270" s="250"/>
      <c r="F270" s="250"/>
      <c r="G270" s="250"/>
      <c r="H270" s="250"/>
      <c r="I270" s="250"/>
      <c r="J270" s="250"/>
      <c r="K270" s="250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0"/>
      <c r="Z270" s="250"/>
      <c r="AA270" s="250"/>
      <c r="AB270" s="250"/>
      <c r="AC270" s="250"/>
      <c r="AD270" s="250"/>
      <c r="AE270" s="250"/>
      <c r="AF270" s="250"/>
      <c r="AG270" s="250"/>
    </row>
    <row r="271" spans="1:33">
      <c r="A271" s="250"/>
      <c r="B271" s="250"/>
      <c r="C271" s="250"/>
      <c r="D271" s="250"/>
      <c r="E271" s="250"/>
      <c r="F271" s="250"/>
      <c r="G271" s="250"/>
      <c r="H271" s="250"/>
      <c r="I271" s="250"/>
      <c r="J271" s="250"/>
      <c r="K271" s="250"/>
      <c r="L271" s="250"/>
      <c r="M271" s="250"/>
      <c r="N271" s="250"/>
      <c r="O271" s="250"/>
      <c r="P271" s="250"/>
      <c r="Q271" s="250"/>
      <c r="R271" s="250"/>
      <c r="S271" s="250"/>
      <c r="T271" s="250"/>
      <c r="U271" s="250"/>
      <c r="V271" s="250"/>
      <c r="W271" s="250"/>
      <c r="X271" s="250"/>
      <c r="Y271" s="250"/>
      <c r="Z271" s="250"/>
      <c r="AA271" s="250"/>
      <c r="AB271" s="250"/>
      <c r="AC271" s="250"/>
      <c r="AD271" s="250"/>
      <c r="AE271" s="250"/>
      <c r="AF271" s="250"/>
      <c r="AG271" s="250"/>
    </row>
    <row r="272" spans="1:33">
      <c r="A272" s="250"/>
      <c r="B272" s="250"/>
      <c r="C272" s="250"/>
      <c r="D272" s="250"/>
      <c r="E272" s="250"/>
      <c r="F272" s="250"/>
      <c r="G272" s="250"/>
      <c r="H272" s="250"/>
      <c r="I272" s="250"/>
      <c r="J272" s="250"/>
      <c r="K272" s="250"/>
      <c r="L272" s="250"/>
      <c r="M272" s="250"/>
      <c r="N272" s="250"/>
      <c r="O272" s="250"/>
      <c r="P272" s="250"/>
      <c r="Q272" s="250"/>
      <c r="R272" s="250"/>
      <c r="S272" s="250"/>
      <c r="T272" s="250"/>
      <c r="U272" s="250"/>
      <c r="V272" s="250"/>
      <c r="W272" s="250"/>
      <c r="X272" s="250"/>
      <c r="Y272" s="250"/>
      <c r="Z272" s="250"/>
      <c r="AA272" s="250"/>
      <c r="AB272" s="250"/>
      <c r="AC272" s="250"/>
      <c r="AD272" s="250"/>
      <c r="AE272" s="250"/>
      <c r="AF272" s="250"/>
      <c r="AG272" s="250"/>
    </row>
    <row r="273" spans="1:33">
      <c r="A273" s="250"/>
      <c r="B273" s="250"/>
      <c r="C273" s="250"/>
      <c r="D273" s="250"/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0"/>
      <c r="Z273" s="250"/>
      <c r="AA273" s="250"/>
      <c r="AB273" s="250"/>
      <c r="AC273" s="250"/>
      <c r="AD273" s="250"/>
      <c r="AE273" s="250"/>
      <c r="AF273" s="250"/>
      <c r="AG273" s="250"/>
    </row>
    <row r="274" spans="1:33">
      <c r="A274" s="250"/>
      <c r="B274" s="250"/>
      <c r="C274" s="250"/>
      <c r="D274" s="250"/>
      <c r="E274" s="250"/>
      <c r="F274" s="250"/>
      <c r="G274" s="250"/>
      <c r="H274" s="250"/>
      <c r="I274" s="250"/>
      <c r="J274" s="250"/>
      <c r="K274" s="250"/>
      <c r="L274" s="250"/>
      <c r="M274" s="250"/>
      <c r="N274" s="250"/>
      <c r="O274" s="250"/>
      <c r="P274" s="250"/>
      <c r="Q274" s="250"/>
      <c r="R274" s="250"/>
      <c r="S274" s="250"/>
      <c r="T274" s="250"/>
      <c r="U274" s="250"/>
      <c r="V274" s="250"/>
      <c r="W274" s="250"/>
      <c r="X274" s="250"/>
      <c r="Y274" s="250"/>
      <c r="Z274" s="250"/>
      <c r="AA274" s="250"/>
      <c r="AB274" s="250"/>
      <c r="AC274" s="250"/>
      <c r="AD274" s="250"/>
      <c r="AE274" s="250"/>
      <c r="AF274" s="250"/>
      <c r="AG274" s="250"/>
    </row>
    <row r="275" spans="1:33">
      <c r="A275" s="250"/>
      <c r="B275" s="250"/>
      <c r="C275" s="250"/>
      <c r="D275" s="250"/>
      <c r="E275" s="250"/>
      <c r="F275" s="250"/>
      <c r="G275" s="250"/>
      <c r="H275" s="250"/>
      <c r="I275" s="250"/>
      <c r="J275" s="250"/>
      <c r="K275" s="250"/>
      <c r="L275" s="250"/>
      <c r="M275" s="250"/>
      <c r="N275" s="250"/>
      <c r="O275" s="250"/>
      <c r="P275" s="250"/>
      <c r="Q275" s="250"/>
      <c r="R275" s="250"/>
      <c r="S275" s="250"/>
      <c r="T275" s="250"/>
      <c r="U275" s="250"/>
      <c r="V275" s="250"/>
      <c r="W275" s="250"/>
      <c r="X275" s="250"/>
      <c r="Y275" s="250"/>
      <c r="Z275" s="250"/>
      <c r="AA275" s="250"/>
      <c r="AB275" s="250"/>
      <c r="AC275" s="250"/>
      <c r="AD275" s="250"/>
      <c r="AE275" s="250"/>
      <c r="AF275" s="250"/>
      <c r="AG275" s="250"/>
    </row>
    <row r="276" spans="1:33">
      <c r="A276" s="250"/>
      <c r="B276" s="250"/>
      <c r="C276" s="250"/>
      <c r="D276" s="250"/>
      <c r="E276" s="250"/>
      <c r="F276" s="250"/>
      <c r="G276" s="250"/>
      <c r="H276" s="250"/>
      <c r="I276" s="250"/>
      <c r="J276" s="250"/>
      <c r="K276" s="250"/>
      <c r="L276" s="250"/>
      <c r="M276" s="250"/>
      <c r="N276" s="250"/>
      <c r="O276" s="250"/>
      <c r="P276" s="250"/>
      <c r="Q276" s="250"/>
      <c r="R276" s="250"/>
      <c r="S276" s="250"/>
      <c r="T276" s="250"/>
      <c r="U276" s="250"/>
      <c r="V276" s="250"/>
      <c r="W276" s="250"/>
      <c r="X276" s="250"/>
      <c r="Y276" s="250"/>
      <c r="Z276" s="250"/>
      <c r="AA276" s="250"/>
      <c r="AB276" s="250"/>
      <c r="AC276" s="250"/>
      <c r="AD276" s="250"/>
      <c r="AE276" s="250"/>
      <c r="AF276" s="250"/>
      <c r="AG276" s="250"/>
    </row>
    <row r="277" spans="1:33">
      <c r="A277" s="250"/>
      <c r="B277" s="250"/>
      <c r="C277" s="250"/>
      <c r="D277" s="250"/>
      <c r="E277" s="250"/>
      <c r="F277" s="250"/>
      <c r="G277" s="250"/>
      <c r="H277" s="250"/>
      <c r="I277" s="250"/>
      <c r="J277" s="250"/>
      <c r="K277" s="250"/>
      <c r="L277" s="250"/>
      <c r="M277" s="250"/>
      <c r="N277" s="250"/>
      <c r="O277" s="250"/>
      <c r="P277" s="250"/>
      <c r="Q277" s="250"/>
      <c r="R277" s="250"/>
      <c r="S277" s="250"/>
      <c r="T277" s="250"/>
      <c r="U277" s="250"/>
      <c r="V277" s="250"/>
      <c r="W277" s="250"/>
      <c r="X277" s="250"/>
      <c r="Y277" s="250"/>
      <c r="Z277" s="250"/>
      <c r="AA277" s="250"/>
      <c r="AB277" s="250"/>
      <c r="AC277" s="250"/>
      <c r="AD277" s="250"/>
      <c r="AE277" s="250"/>
      <c r="AF277" s="250"/>
      <c r="AG277" s="250"/>
    </row>
    <row r="278" spans="1:33">
      <c r="A278" s="250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0"/>
      <c r="X278" s="250"/>
      <c r="Y278" s="250"/>
      <c r="Z278" s="250"/>
      <c r="AA278" s="250"/>
      <c r="AB278" s="250"/>
      <c r="AC278" s="250"/>
      <c r="AD278" s="250"/>
      <c r="AE278" s="250"/>
      <c r="AF278" s="250"/>
      <c r="AG278" s="250"/>
    </row>
    <row r="279" spans="1:33">
      <c r="A279" s="250"/>
      <c r="B279" s="250"/>
      <c r="C279" s="250"/>
      <c r="D279" s="250"/>
      <c r="E279" s="250"/>
      <c r="F279" s="250"/>
      <c r="G279" s="250"/>
      <c r="H279" s="250"/>
      <c r="I279" s="250"/>
      <c r="J279" s="250"/>
      <c r="K279" s="250"/>
      <c r="L279" s="250"/>
      <c r="M279" s="250"/>
      <c r="N279" s="250"/>
      <c r="O279" s="250"/>
      <c r="P279" s="250"/>
      <c r="Q279" s="250"/>
      <c r="R279" s="250"/>
      <c r="S279" s="250"/>
      <c r="T279" s="250"/>
      <c r="U279" s="250"/>
      <c r="V279" s="250"/>
      <c r="W279" s="250"/>
      <c r="X279" s="250"/>
      <c r="Y279" s="250"/>
      <c r="Z279" s="250"/>
      <c r="AA279" s="250"/>
      <c r="AB279" s="250"/>
      <c r="AC279" s="250"/>
      <c r="AD279" s="250"/>
      <c r="AE279" s="250"/>
      <c r="AF279" s="250"/>
      <c r="AG279" s="250"/>
    </row>
    <row r="280" spans="1:33">
      <c r="A280" s="250"/>
      <c r="B280" s="250"/>
      <c r="C280" s="250"/>
      <c r="D280" s="250"/>
      <c r="E280" s="250"/>
      <c r="F280" s="250"/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  <c r="R280" s="250"/>
      <c r="S280" s="250"/>
      <c r="T280" s="250"/>
      <c r="U280" s="250"/>
      <c r="V280" s="250"/>
      <c r="W280" s="250"/>
      <c r="X280" s="250"/>
      <c r="Y280" s="250"/>
      <c r="Z280" s="250"/>
      <c r="AA280" s="250"/>
      <c r="AB280" s="250"/>
      <c r="AC280" s="250"/>
      <c r="AD280" s="250"/>
      <c r="AE280" s="250"/>
      <c r="AF280" s="250"/>
      <c r="AG280" s="250"/>
    </row>
    <row r="281" spans="1:33">
      <c r="A281" s="250"/>
      <c r="B281" s="250"/>
      <c r="C281" s="250"/>
      <c r="D281" s="250"/>
      <c r="E281" s="250"/>
      <c r="F281" s="250"/>
      <c r="G281" s="250"/>
      <c r="H281" s="250"/>
      <c r="I281" s="250"/>
      <c r="J281" s="250"/>
      <c r="K281" s="250"/>
      <c r="L281" s="250"/>
      <c r="M281" s="250"/>
      <c r="N281" s="250"/>
      <c r="O281" s="250"/>
      <c r="P281" s="250"/>
      <c r="Q281" s="250"/>
      <c r="R281" s="250"/>
      <c r="S281" s="250"/>
      <c r="T281" s="250"/>
      <c r="U281" s="250"/>
      <c r="V281" s="250"/>
      <c r="W281" s="250"/>
      <c r="X281" s="250"/>
      <c r="Y281" s="250"/>
      <c r="Z281" s="250"/>
      <c r="AA281" s="250"/>
      <c r="AB281" s="250"/>
      <c r="AC281" s="250"/>
      <c r="AD281" s="250"/>
      <c r="AE281" s="250"/>
      <c r="AF281" s="250"/>
      <c r="AG281" s="250"/>
    </row>
    <row r="282" spans="1:33">
      <c r="A282" s="250"/>
      <c r="B282" s="250"/>
      <c r="C282" s="250"/>
      <c r="D282" s="250"/>
      <c r="E282" s="250"/>
      <c r="F282" s="250"/>
      <c r="G282" s="250"/>
      <c r="H282" s="250"/>
      <c r="I282" s="250"/>
      <c r="J282" s="250"/>
      <c r="K282" s="250"/>
      <c r="L282" s="250"/>
      <c r="M282" s="250"/>
      <c r="N282" s="250"/>
      <c r="O282" s="250"/>
      <c r="P282" s="250"/>
      <c r="Q282" s="250"/>
      <c r="R282" s="250"/>
      <c r="S282" s="250"/>
      <c r="T282" s="250"/>
      <c r="U282" s="250"/>
      <c r="V282" s="250"/>
      <c r="W282" s="250"/>
      <c r="X282" s="250"/>
      <c r="Y282" s="250"/>
      <c r="Z282" s="250"/>
      <c r="AA282" s="250"/>
      <c r="AB282" s="250"/>
      <c r="AC282" s="250"/>
      <c r="AD282" s="250"/>
      <c r="AE282" s="250"/>
      <c r="AF282" s="250"/>
      <c r="AG282" s="250"/>
    </row>
    <row r="283" spans="1:33">
      <c r="A283" s="250"/>
      <c r="B283" s="250"/>
      <c r="C283" s="250"/>
      <c r="D283" s="250"/>
      <c r="E283" s="250"/>
      <c r="F283" s="250"/>
      <c r="G283" s="250"/>
      <c r="H283" s="250"/>
      <c r="I283" s="250"/>
      <c r="J283" s="250"/>
      <c r="K283" s="250"/>
      <c r="L283" s="250"/>
      <c r="M283" s="250"/>
      <c r="N283" s="250"/>
      <c r="O283" s="250"/>
      <c r="P283" s="250"/>
      <c r="Q283" s="250"/>
      <c r="R283" s="250"/>
      <c r="S283" s="250"/>
      <c r="T283" s="250"/>
      <c r="U283" s="250"/>
      <c r="V283" s="250"/>
      <c r="W283" s="250"/>
      <c r="X283" s="250"/>
      <c r="Y283" s="250"/>
      <c r="Z283" s="250"/>
      <c r="AA283" s="250"/>
      <c r="AB283" s="250"/>
      <c r="AC283" s="250"/>
      <c r="AD283" s="250"/>
      <c r="AE283" s="250"/>
      <c r="AF283" s="250"/>
      <c r="AG283" s="250"/>
    </row>
  </sheetData>
  <mergeCells count="67"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  <mergeCell ref="B94:B96"/>
    <mergeCell ref="C94:D95"/>
    <mergeCell ref="E94:N94"/>
    <mergeCell ref="O94:P95"/>
    <mergeCell ref="E95:I95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AB40:AB51"/>
    <mergeCell ref="B41:B43"/>
    <mergeCell ref="B49:C49"/>
    <mergeCell ref="B52:C52"/>
    <mergeCell ref="B55:S55"/>
    <mergeCell ref="B56:C58"/>
    <mergeCell ref="D56:S56"/>
    <mergeCell ref="D57:D58"/>
    <mergeCell ref="E57:E58"/>
    <mergeCell ref="F57:M57"/>
    <mergeCell ref="N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6"/>
  <sheetViews>
    <sheetView topLeftCell="A28" zoomScale="80" zoomScaleNormal="80" workbookViewId="0">
      <selection activeCell="B99" sqref="B99"/>
    </sheetView>
  </sheetViews>
  <sheetFormatPr defaultRowHeight="12.75"/>
  <cols>
    <col min="1" max="1" width="2.5703125" style="256" customWidth="1"/>
    <col min="2" max="2" width="36.7109375" style="256" customWidth="1"/>
    <col min="3" max="3" width="17.42578125" style="256" customWidth="1"/>
    <col min="4" max="4" width="16.28515625" style="256" customWidth="1"/>
    <col min="5" max="5" width="13.42578125" style="256" customWidth="1"/>
    <col min="6" max="6" width="17.7109375" style="256" bestFit="1" customWidth="1"/>
    <col min="7" max="7" width="14.85546875" style="256" customWidth="1"/>
    <col min="8" max="8" width="17.42578125" style="256" customWidth="1"/>
    <col min="9" max="9" width="16.140625" style="256" customWidth="1"/>
    <col min="10" max="10" width="15.140625" style="256" customWidth="1"/>
    <col min="11" max="11" width="10" style="256" bestFit="1" customWidth="1"/>
    <col min="12" max="12" width="20" style="256" customWidth="1"/>
    <col min="13" max="13" width="12" style="256" customWidth="1"/>
    <col min="14" max="14" width="11" style="256" customWidth="1"/>
    <col min="15" max="15" width="13.42578125" style="256" customWidth="1"/>
    <col min="16" max="16" width="12.5703125" style="256" customWidth="1"/>
    <col min="17" max="17" width="9.140625" style="256"/>
    <col min="18" max="18" width="12" style="256" customWidth="1"/>
    <col min="19" max="19" width="11.5703125" style="256" bestFit="1" customWidth="1"/>
    <col min="20" max="20" width="9.140625" style="256"/>
    <col min="21" max="21" width="9.140625" style="250"/>
    <col min="22" max="22" width="20" style="256" customWidth="1"/>
    <col min="23" max="16384" width="9.140625" style="256"/>
  </cols>
  <sheetData>
    <row r="1" spans="1:34" s="250" customFormat="1">
      <c r="B1" s="250" t="s">
        <v>226</v>
      </c>
      <c r="E1" s="250" t="s">
        <v>96</v>
      </c>
    </row>
    <row r="2" spans="1:34" ht="15" customHeight="1">
      <c r="A2" s="251"/>
      <c r="B2" s="252" t="s">
        <v>227</v>
      </c>
      <c r="C2" s="253"/>
      <c r="D2" s="254"/>
      <c r="E2" s="543">
        <v>2015</v>
      </c>
      <c r="F2" s="255"/>
      <c r="G2" s="255"/>
      <c r="H2" s="255"/>
      <c r="I2" s="255"/>
      <c r="J2" s="255"/>
      <c r="K2" s="255"/>
      <c r="L2" s="250"/>
      <c r="M2" s="250"/>
      <c r="N2" s="250"/>
      <c r="O2" s="250"/>
      <c r="P2" s="250"/>
      <c r="Q2" s="250"/>
      <c r="R2" s="250"/>
      <c r="S2" s="250"/>
      <c r="T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</row>
    <row r="3" spans="1:34" ht="15.75" customHeight="1">
      <c r="A3" s="251"/>
      <c r="B3" s="257" t="s">
        <v>228</v>
      </c>
      <c r="C3" s="258"/>
      <c r="D3" s="258"/>
      <c r="E3" s="386">
        <v>635759</v>
      </c>
      <c r="F3" s="259"/>
      <c r="G3" s="259"/>
      <c r="H3" s="259"/>
      <c r="I3" s="260"/>
      <c r="J3" s="261"/>
      <c r="K3" s="261"/>
      <c r="L3" s="250"/>
      <c r="M3" s="250"/>
      <c r="N3" s="250"/>
      <c r="O3" s="250"/>
      <c r="P3" s="250"/>
      <c r="Q3" s="250"/>
      <c r="R3" s="250"/>
      <c r="S3" s="250"/>
      <c r="T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</row>
    <row r="4" spans="1:34">
      <c r="A4" s="250"/>
      <c r="B4" s="252" t="s">
        <v>116</v>
      </c>
      <c r="C4" s="253"/>
      <c r="D4" s="255"/>
      <c r="E4" s="385" t="s">
        <v>229</v>
      </c>
      <c r="F4" s="255"/>
      <c r="G4" s="255"/>
      <c r="H4" s="255"/>
      <c r="I4" s="255"/>
      <c r="J4" s="262"/>
      <c r="K4" s="262"/>
      <c r="L4" s="250"/>
      <c r="M4" s="250"/>
      <c r="N4" s="250"/>
      <c r="O4" s="250"/>
      <c r="P4" s="250"/>
      <c r="Q4" s="250"/>
      <c r="R4" s="250"/>
      <c r="S4" s="250"/>
      <c r="T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</row>
    <row r="5" spans="1:34">
      <c r="A5" s="251"/>
      <c r="B5" s="254" t="s">
        <v>230</v>
      </c>
      <c r="C5" s="263"/>
      <c r="D5" s="264"/>
      <c r="E5" s="384" t="s">
        <v>231</v>
      </c>
      <c r="F5" s="254"/>
      <c r="G5" s="255"/>
      <c r="H5" s="255"/>
      <c r="I5" s="255"/>
      <c r="J5" s="262"/>
      <c r="K5" s="262"/>
      <c r="L5" s="250"/>
      <c r="M5" s="250"/>
      <c r="N5" s="250"/>
      <c r="O5" s="250"/>
      <c r="P5" s="250"/>
      <c r="Q5" s="250"/>
      <c r="R5" s="250"/>
      <c r="S5" s="250"/>
      <c r="T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</row>
    <row r="6" spans="1:34" ht="16.5" customHeight="1">
      <c r="A6" s="250"/>
      <c r="B6" s="265"/>
      <c r="C6" s="255"/>
      <c r="D6" s="266"/>
      <c r="E6" s="266"/>
      <c r="F6" s="266"/>
      <c r="G6" s="267"/>
      <c r="H6" s="268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0"/>
      <c r="T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</row>
    <row r="7" spans="1:34" ht="19.5" customHeight="1">
      <c r="A7" s="250"/>
      <c r="B7" s="269" t="s">
        <v>370</v>
      </c>
      <c r="C7" s="270"/>
      <c r="D7" s="271"/>
      <c r="E7" s="270"/>
      <c r="F7" s="271"/>
      <c r="G7" s="270"/>
      <c r="H7" s="271"/>
      <c r="I7" s="270"/>
      <c r="J7" s="271"/>
      <c r="K7" s="272"/>
      <c r="L7" s="272"/>
      <c r="M7" s="272"/>
      <c r="N7" s="272"/>
      <c r="O7" s="255"/>
      <c r="P7" s="255"/>
      <c r="Q7" s="255"/>
      <c r="R7" s="255"/>
      <c r="S7" s="250"/>
      <c r="T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</row>
    <row r="8" spans="1:34" ht="16.5" thickBot="1">
      <c r="A8" s="250"/>
      <c r="B8" s="275" t="s">
        <v>232</v>
      </c>
      <c r="C8" s="276"/>
      <c r="D8" s="276"/>
      <c r="E8" s="276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50"/>
      <c r="T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</row>
    <row r="9" spans="1:34" ht="15" customHeight="1">
      <c r="A9" s="250"/>
      <c r="B9" s="544" t="s">
        <v>2</v>
      </c>
      <c r="C9" s="545"/>
      <c r="D9" s="548" t="s">
        <v>233</v>
      </c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49"/>
      <c r="S9" s="550"/>
      <c r="T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4" ht="14.25" customHeight="1">
      <c r="A10" s="250"/>
      <c r="B10" s="546"/>
      <c r="C10" s="547"/>
      <c r="D10" s="551" t="s">
        <v>77</v>
      </c>
      <c r="E10" s="551" t="s">
        <v>234</v>
      </c>
      <c r="F10" s="551" t="s">
        <v>235</v>
      </c>
      <c r="G10" s="551"/>
      <c r="H10" s="551"/>
      <c r="I10" s="551"/>
      <c r="J10" s="551"/>
      <c r="K10" s="551"/>
      <c r="L10" s="551"/>
      <c r="M10" s="551"/>
      <c r="N10" s="551" t="s">
        <v>236</v>
      </c>
      <c r="O10" s="551"/>
      <c r="P10" s="551"/>
      <c r="Q10" s="551"/>
      <c r="R10" s="551"/>
      <c r="S10" s="563" t="s">
        <v>237</v>
      </c>
      <c r="T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</row>
    <row r="11" spans="1:34" ht="26.25" thickBot="1">
      <c r="A11" s="250"/>
      <c r="B11" s="546"/>
      <c r="C11" s="547"/>
      <c r="D11" s="552"/>
      <c r="E11" s="552"/>
      <c r="F11" s="278" t="s">
        <v>80</v>
      </c>
      <c r="G11" s="278" t="s">
        <v>238</v>
      </c>
      <c r="H11" s="278" t="s">
        <v>82</v>
      </c>
      <c r="I11" s="278" t="s">
        <v>84</v>
      </c>
      <c r="J11" s="278" t="s">
        <v>85</v>
      </c>
      <c r="K11" s="278" t="s">
        <v>239</v>
      </c>
      <c r="L11" s="278" t="s">
        <v>86</v>
      </c>
      <c r="M11" s="278" t="s">
        <v>240</v>
      </c>
      <c r="N11" s="278" t="s">
        <v>241</v>
      </c>
      <c r="O11" s="278" t="s">
        <v>242</v>
      </c>
      <c r="P11" s="278" t="s">
        <v>243</v>
      </c>
      <c r="Q11" s="278" t="s">
        <v>244</v>
      </c>
      <c r="R11" s="278" t="s">
        <v>245</v>
      </c>
      <c r="S11" s="564"/>
      <c r="T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34" ht="15" customHeight="1">
      <c r="A12" s="250"/>
      <c r="B12" s="279" t="s">
        <v>246</v>
      </c>
      <c r="C12" s="280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2"/>
      <c r="T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34" ht="14.25" customHeight="1">
      <c r="A13" s="250"/>
      <c r="B13" s="283" t="s">
        <v>247</v>
      </c>
      <c r="C13" s="284"/>
      <c r="D13" s="285">
        <v>46384</v>
      </c>
      <c r="E13" s="285">
        <v>148428</v>
      </c>
      <c r="F13" s="285">
        <v>87051</v>
      </c>
      <c r="G13" s="285">
        <v>61.849940000000004</v>
      </c>
      <c r="H13" s="285">
        <v>2530.4249177777774</v>
      </c>
      <c r="I13" s="285">
        <v>0</v>
      </c>
      <c r="J13" s="285">
        <v>0</v>
      </c>
      <c r="K13" s="285">
        <v>0</v>
      </c>
      <c r="L13" s="285">
        <v>0</v>
      </c>
      <c r="M13" s="285">
        <v>404.11966666666666</v>
      </c>
      <c r="N13" s="285">
        <v>0</v>
      </c>
      <c r="O13" s="285">
        <v>11655.855</v>
      </c>
      <c r="P13" s="285">
        <v>0</v>
      </c>
      <c r="Q13" s="285">
        <v>0</v>
      </c>
      <c r="R13" s="285">
        <v>0</v>
      </c>
      <c r="S13" s="286">
        <v>296515.2495244444</v>
      </c>
      <c r="T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  <c r="AF13" s="250"/>
      <c r="AG13" s="250"/>
    </row>
    <row r="14" spans="1:34" ht="14.25" customHeight="1">
      <c r="A14" s="250"/>
      <c r="B14" s="287" t="s">
        <v>248</v>
      </c>
      <c r="C14" s="288"/>
      <c r="D14" s="285">
        <v>910484</v>
      </c>
      <c r="E14" s="285">
        <v>442320</v>
      </c>
      <c r="F14" s="285">
        <v>212623.89166666663</v>
      </c>
      <c r="G14" s="285">
        <v>1750.659765666667</v>
      </c>
      <c r="H14" s="285">
        <v>23522.31388888889</v>
      </c>
      <c r="I14" s="285">
        <v>0</v>
      </c>
      <c r="J14" s="285">
        <v>0</v>
      </c>
      <c r="K14" s="285">
        <v>0</v>
      </c>
      <c r="L14" s="285">
        <v>0</v>
      </c>
      <c r="M14" s="285">
        <v>28373.73333333333</v>
      </c>
      <c r="N14" s="285">
        <v>0</v>
      </c>
      <c r="O14" s="285">
        <v>0</v>
      </c>
      <c r="P14" s="285">
        <v>0</v>
      </c>
      <c r="Q14" s="285">
        <v>0</v>
      </c>
      <c r="R14" s="285">
        <v>0</v>
      </c>
      <c r="S14" s="286">
        <v>1619074.5986545554</v>
      </c>
      <c r="T14" s="250"/>
      <c r="V14" s="250"/>
      <c r="W14" s="250"/>
      <c r="X14" s="250"/>
      <c r="Y14" s="250"/>
      <c r="Z14" s="250"/>
      <c r="AA14" s="250"/>
      <c r="AB14" s="250"/>
      <c r="AC14" s="250"/>
      <c r="AD14" s="250"/>
      <c r="AE14" s="250"/>
      <c r="AF14" s="250"/>
      <c r="AG14" s="250"/>
    </row>
    <row r="15" spans="1:34" ht="15" customHeight="1">
      <c r="A15" s="250"/>
      <c r="B15" s="287" t="s">
        <v>0</v>
      </c>
      <c r="C15" s="288"/>
      <c r="D15" s="285">
        <v>558927</v>
      </c>
      <c r="E15" s="285">
        <v>1236454</v>
      </c>
      <c r="F15" s="285">
        <v>1037574</v>
      </c>
      <c r="G15" s="285">
        <v>27219.545666666672</v>
      </c>
      <c r="H15" s="285">
        <v>2967</v>
      </c>
      <c r="I15" s="285">
        <v>0</v>
      </c>
      <c r="J15" s="285">
        <v>0</v>
      </c>
      <c r="K15" s="285">
        <v>0</v>
      </c>
      <c r="L15" s="285">
        <v>589147</v>
      </c>
      <c r="M15" s="285">
        <v>0</v>
      </c>
      <c r="N15" s="285">
        <v>0</v>
      </c>
      <c r="O15" s="285">
        <v>0</v>
      </c>
      <c r="P15" s="285">
        <v>450176.83618046425</v>
      </c>
      <c r="Q15" s="285">
        <v>6346.6200000000017</v>
      </c>
      <c r="R15" s="285">
        <v>0</v>
      </c>
      <c r="S15" s="286">
        <v>3908812.0018471312</v>
      </c>
      <c r="T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</row>
    <row r="16" spans="1:34" ht="15" customHeight="1">
      <c r="A16" s="250"/>
      <c r="B16" s="287" t="s">
        <v>42</v>
      </c>
      <c r="C16" s="288"/>
      <c r="D16" s="285">
        <v>33292</v>
      </c>
      <c r="E16" s="285">
        <v>0</v>
      </c>
      <c r="F16" s="285">
        <v>502</v>
      </c>
      <c r="G16" s="285">
        <v>0</v>
      </c>
      <c r="H16" s="285">
        <v>0</v>
      </c>
      <c r="I16" s="285">
        <v>0</v>
      </c>
      <c r="J16" s="285">
        <v>0</v>
      </c>
      <c r="K16" s="285">
        <v>0</v>
      </c>
      <c r="L16" s="285">
        <v>0</v>
      </c>
      <c r="M16" s="285">
        <v>0</v>
      </c>
      <c r="N16" s="285">
        <v>0</v>
      </c>
      <c r="O16" s="285">
        <v>0</v>
      </c>
      <c r="P16" s="285">
        <v>0</v>
      </c>
      <c r="Q16" s="285">
        <v>0</v>
      </c>
      <c r="R16" s="285">
        <v>0</v>
      </c>
      <c r="S16" s="286">
        <v>33794</v>
      </c>
      <c r="T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</row>
    <row r="17" spans="1:34" ht="15" customHeight="1">
      <c r="A17" s="250"/>
      <c r="B17" s="554" t="s">
        <v>11</v>
      </c>
      <c r="C17" s="368" t="s">
        <v>249</v>
      </c>
      <c r="D17" s="367"/>
      <c r="E17" s="367"/>
      <c r="F17" s="367"/>
      <c r="G17" s="367"/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250"/>
      <c r="V17" s="250">
        <f>T13+T14+T16</f>
        <v>0</v>
      </c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</row>
    <row r="18" spans="1:34" ht="18.75" customHeight="1">
      <c r="A18" s="250"/>
      <c r="B18" s="555"/>
      <c r="C18" s="369" t="s">
        <v>250</v>
      </c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</row>
    <row r="19" spans="1:34" ht="18.75" customHeight="1">
      <c r="A19" s="250"/>
      <c r="B19" s="556"/>
      <c r="C19" s="290" t="s">
        <v>237</v>
      </c>
      <c r="D19" s="291">
        <v>591412</v>
      </c>
      <c r="E19" s="291">
        <v>102941.94444444444</v>
      </c>
      <c r="F19" s="291">
        <v>376815</v>
      </c>
      <c r="G19" s="291">
        <v>1</v>
      </c>
      <c r="H19" s="291">
        <v>3465</v>
      </c>
      <c r="I19" s="291">
        <v>0</v>
      </c>
      <c r="J19" s="291">
        <v>0</v>
      </c>
      <c r="K19" s="291">
        <v>0</v>
      </c>
      <c r="L19" s="291">
        <v>0</v>
      </c>
      <c r="M19" s="291">
        <v>65622</v>
      </c>
      <c r="N19" s="291">
        <v>0</v>
      </c>
      <c r="O19" s="291">
        <v>0</v>
      </c>
      <c r="P19" s="291">
        <v>0</v>
      </c>
      <c r="Q19" s="291">
        <v>0</v>
      </c>
      <c r="R19" s="291">
        <v>0</v>
      </c>
      <c r="S19" s="292">
        <v>1140256.9444444445</v>
      </c>
      <c r="T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</row>
    <row r="20" spans="1:34" ht="15" customHeight="1" thickBot="1">
      <c r="A20" s="250"/>
      <c r="B20" s="293" t="s">
        <v>251</v>
      </c>
      <c r="C20" s="294"/>
      <c r="D20" s="295">
        <v>2140499</v>
      </c>
      <c r="E20" s="295">
        <v>1930143.9444444445</v>
      </c>
      <c r="F20" s="295">
        <v>1714565.8916666666</v>
      </c>
      <c r="G20" s="295">
        <v>29033.05537233334</v>
      </c>
      <c r="H20" s="295">
        <v>32484.738806666668</v>
      </c>
      <c r="I20" s="295">
        <v>0</v>
      </c>
      <c r="J20" s="295">
        <v>0</v>
      </c>
      <c r="K20" s="295">
        <v>0</v>
      </c>
      <c r="L20" s="295">
        <v>589147</v>
      </c>
      <c r="M20" s="295">
        <v>94399.853000000003</v>
      </c>
      <c r="N20" s="295">
        <v>0</v>
      </c>
      <c r="O20" s="295">
        <v>11655.855</v>
      </c>
      <c r="P20" s="295">
        <v>450176.83618046425</v>
      </c>
      <c r="Q20" s="295">
        <v>6346.6200000000017</v>
      </c>
      <c r="R20" s="295">
        <v>0</v>
      </c>
      <c r="S20" s="296">
        <v>6998452.7944705747</v>
      </c>
      <c r="T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</row>
    <row r="21" spans="1:34" ht="15" customHeight="1">
      <c r="A21" s="250"/>
      <c r="B21" s="297" t="s">
        <v>252</v>
      </c>
      <c r="C21" s="298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300"/>
      <c r="T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</row>
    <row r="22" spans="1:34" ht="15" customHeight="1">
      <c r="A22" s="250"/>
      <c r="B22" s="287" t="s">
        <v>253</v>
      </c>
      <c r="C22" s="301"/>
      <c r="D22" s="285">
        <v>0</v>
      </c>
      <c r="E22" s="285">
        <v>0</v>
      </c>
      <c r="F22" s="285">
        <v>0</v>
      </c>
      <c r="G22" s="285">
        <v>0</v>
      </c>
      <c r="H22" s="285">
        <v>0</v>
      </c>
      <c r="I22" s="285">
        <v>9.740222916666666E-3</v>
      </c>
      <c r="J22" s="285">
        <v>17.611999999999998</v>
      </c>
      <c r="K22" s="285">
        <v>0</v>
      </c>
      <c r="L22" s="285">
        <v>0</v>
      </c>
      <c r="M22" s="285">
        <v>0</v>
      </c>
      <c r="N22" s="285">
        <v>0</v>
      </c>
      <c r="O22" s="285">
        <v>0</v>
      </c>
      <c r="P22" s="285">
        <v>0</v>
      </c>
      <c r="Q22" s="285">
        <v>0</v>
      </c>
      <c r="R22" s="285">
        <v>0</v>
      </c>
      <c r="S22" s="289">
        <v>17.621740222916664</v>
      </c>
      <c r="T22" s="250"/>
      <c r="V22" s="250"/>
      <c r="W22" s="250"/>
      <c r="X22" s="250"/>
      <c r="Y22" s="250"/>
      <c r="Z22" s="250"/>
      <c r="AA22" s="250"/>
      <c r="AB22" s="250"/>
      <c r="AC22" s="250"/>
      <c r="AD22" s="250"/>
      <c r="AE22" s="250"/>
      <c r="AF22" s="250"/>
      <c r="AG22" s="250"/>
    </row>
    <row r="23" spans="1:34" ht="15" customHeight="1">
      <c r="A23" s="250"/>
      <c r="B23" s="287" t="s">
        <v>254</v>
      </c>
      <c r="C23" s="301"/>
      <c r="D23" s="285">
        <v>62066</v>
      </c>
      <c r="E23" s="285">
        <v>0</v>
      </c>
      <c r="F23" s="285">
        <v>0</v>
      </c>
      <c r="G23" s="285">
        <v>0</v>
      </c>
      <c r="H23" s="285">
        <v>0</v>
      </c>
      <c r="I23" s="285">
        <v>113011</v>
      </c>
      <c r="J23" s="285">
        <v>0</v>
      </c>
      <c r="K23" s="285">
        <v>0</v>
      </c>
      <c r="L23" s="285">
        <v>0</v>
      </c>
      <c r="M23" s="285">
        <v>0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9">
        <v>175077</v>
      </c>
      <c r="T23" s="250"/>
      <c r="V23" s="250"/>
      <c r="W23" s="250"/>
      <c r="X23" s="250"/>
      <c r="Y23" s="250"/>
      <c r="Z23" s="250"/>
      <c r="AA23" s="250"/>
      <c r="AB23" s="250"/>
      <c r="AC23" s="250"/>
      <c r="AD23" s="250"/>
      <c r="AE23" s="250"/>
      <c r="AF23" s="250"/>
      <c r="AG23" s="250"/>
    </row>
    <row r="24" spans="1:34" ht="15" customHeight="1">
      <c r="A24" s="250"/>
      <c r="B24" s="287" t="s">
        <v>255</v>
      </c>
      <c r="C24" s="301"/>
      <c r="D24" s="285">
        <v>18037</v>
      </c>
      <c r="E24" s="285">
        <v>0</v>
      </c>
      <c r="F24" s="285">
        <v>2651</v>
      </c>
      <c r="G24" s="285">
        <v>234167</v>
      </c>
      <c r="H24" s="285">
        <v>0</v>
      </c>
      <c r="I24" s="285">
        <v>1969611</v>
      </c>
      <c r="J24" s="285">
        <v>1654614</v>
      </c>
      <c r="K24" s="285">
        <v>0</v>
      </c>
      <c r="L24" s="285">
        <v>0</v>
      </c>
      <c r="M24" s="285">
        <v>0</v>
      </c>
      <c r="N24" s="285">
        <v>425.40507288888887</v>
      </c>
      <c r="O24" s="285">
        <v>15.869520000000001</v>
      </c>
      <c r="P24" s="285">
        <v>0</v>
      </c>
      <c r="Q24" s="285">
        <v>0</v>
      </c>
      <c r="R24" s="285">
        <v>0</v>
      </c>
      <c r="S24" s="289">
        <v>3879521.274592889</v>
      </c>
      <c r="T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34" ht="15" customHeight="1" thickBot="1">
      <c r="A25" s="250"/>
      <c r="B25" s="557" t="s">
        <v>256</v>
      </c>
      <c r="C25" s="558"/>
      <c r="D25" s="295">
        <v>80103</v>
      </c>
      <c r="E25" s="295">
        <v>0</v>
      </c>
      <c r="F25" s="295">
        <v>2651</v>
      </c>
      <c r="G25" s="295">
        <v>234167</v>
      </c>
      <c r="H25" s="295">
        <v>0</v>
      </c>
      <c r="I25" s="295">
        <v>2082622.0097402229</v>
      </c>
      <c r="J25" s="295">
        <v>1654631.612</v>
      </c>
      <c r="K25" s="295">
        <v>0</v>
      </c>
      <c r="L25" s="295">
        <v>0</v>
      </c>
      <c r="M25" s="295">
        <v>0</v>
      </c>
      <c r="N25" s="295">
        <v>425.40507288888887</v>
      </c>
      <c r="O25" s="295">
        <v>15.869520000000001</v>
      </c>
      <c r="P25" s="295">
        <v>0</v>
      </c>
      <c r="Q25" s="295">
        <v>0</v>
      </c>
      <c r="R25" s="295">
        <v>0</v>
      </c>
      <c r="S25" s="296">
        <v>4054615.8963331119</v>
      </c>
      <c r="T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34">
      <c r="A26" s="250"/>
      <c r="B26" s="302" t="s">
        <v>257</v>
      </c>
      <c r="C26" s="298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303"/>
      <c r="T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</row>
    <row r="27" spans="1:34" ht="15" customHeight="1">
      <c r="A27" s="250"/>
      <c r="B27" s="287" t="s">
        <v>258</v>
      </c>
      <c r="C27" s="301"/>
      <c r="D27" s="304">
        <v>0</v>
      </c>
      <c r="E27" s="304">
        <v>0</v>
      </c>
      <c r="F27" s="304">
        <v>3812.6666666666661</v>
      </c>
      <c r="G27" s="304">
        <v>0</v>
      </c>
      <c r="H27" s="304">
        <v>0</v>
      </c>
      <c r="I27" s="304">
        <v>10897</v>
      </c>
      <c r="J27" s="304">
        <v>0</v>
      </c>
      <c r="K27" s="304">
        <v>0</v>
      </c>
      <c r="L27" s="304">
        <v>0</v>
      </c>
      <c r="M27" s="304">
        <v>0</v>
      </c>
      <c r="N27" s="285">
        <v>0</v>
      </c>
      <c r="O27" s="285">
        <v>0</v>
      </c>
      <c r="P27" s="285">
        <v>0</v>
      </c>
      <c r="Q27" s="285">
        <v>0</v>
      </c>
      <c r="R27" s="285">
        <v>0</v>
      </c>
      <c r="S27" s="289">
        <v>14709.666666666666</v>
      </c>
      <c r="T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</row>
    <row r="28" spans="1:34" ht="15.75" customHeight="1" thickBot="1">
      <c r="A28" s="250"/>
      <c r="B28" s="559" t="s">
        <v>259</v>
      </c>
      <c r="C28" s="560"/>
      <c r="D28" s="305">
        <v>2220602</v>
      </c>
      <c r="E28" s="305">
        <v>1930143.9444444445</v>
      </c>
      <c r="F28" s="305">
        <v>1721029.5583333333</v>
      </c>
      <c r="G28" s="305">
        <v>263200.05537233333</v>
      </c>
      <c r="H28" s="305">
        <v>32484.738806666668</v>
      </c>
      <c r="I28" s="305">
        <v>2093519.0097402229</v>
      </c>
      <c r="J28" s="305">
        <v>1654631.612</v>
      </c>
      <c r="K28" s="305">
        <v>0</v>
      </c>
      <c r="L28" s="305">
        <v>589147</v>
      </c>
      <c r="M28" s="305">
        <v>94399.853000000003</v>
      </c>
      <c r="N28" s="305">
        <v>425.40507288888887</v>
      </c>
      <c r="O28" s="305">
        <v>11671.72452</v>
      </c>
      <c r="P28" s="305">
        <v>450176.83618046425</v>
      </c>
      <c r="Q28" s="305">
        <v>6346.6200000000017</v>
      </c>
      <c r="R28" s="305">
        <v>0</v>
      </c>
      <c r="S28" s="305">
        <v>11067778.357470352</v>
      </c>
      <c r="T28" s="250"/>
      <c r="V28" s="250"/>
      <c r="W28" s="250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</row>
    <row r="29" spans="1:34" ht="12" customHeight="1">
      <c r="A29" s="250"/>
      <c r="B29" s="250"/>
      <c r="C29" s="250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499" t="s">
        <v>359</v>
      </c>
      <c r="S29" s="500">
        <f>SUM(N28:R28)/S28</f>
        <v>4.2340980333876226E-2</v>
      </c>
      <c r="T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</row>
    <row r="30" spans="1:34" ht="16.5" hidden="1" thickBot="1">
      <c r="A30" s="250"/>
      <c r="B30" s="306" t="s">
        <v>260</v>
      </c>
      <c r="C30" s="307"/>
      <c r="D30" s="307"/>
      <c r="E30" s="253"/>
      <c r="F30" s="253"/>
      <c r="G30" s="253"/>
      <c r="H30" s="253"/>
      <c r="I30" s="253"/>
      <c r="J30" s="253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</row>
    <row r="31" spans="1:34" ht="55.5" hidden="1" customHeight="1">
      <c r="A31" s="250"/>
      <c r="B31" s="308" t="s">
        <v>261</v>
      </c>
      <c r="C31" s="309" t="s">
        <v>262</v>
      </c>
      <c r="D31" s="309" t="s">
        <v>263</v>
      </c>
      <c r="E31" s="310" t="s">
        <v>264</v>
      </c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V31" s="250"/>
      <c r="W31" s="250"/>
      <c r="X31" s="250"/>
      <c r="Y31" s="250"/>
      <c r="Z31" s="250"/>
      <c r="AA31" s="250"/>
      <c r="AB31" s="250"/>
      <c r="AC31" s="250"/>
    </row>
    <row r="32" spans="1:34" hidden="1">
      <c r="A32" s="250"/>
      <c r="B32" s="311" t="s">
        <v>265</v>
      </c>
      <c r="C32" s="312"/>
      <c r="D32" s="313"/>
      <c r="E32" s="314">
        <f>C32*D32</f>
        <v>0</v>
      </c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V32" s="250"/>
      <c r="W32" s="250"/>
      <c r="X32" s="250"/>
      <c r="Y32" s="250"/>
      <c r="Z32" s="250"/>
      <c r="AA32" s="250"/>
      <c r="AB32" s="250"/>
      <c r="AC32" s="250"/>
    </row>
    <row r="33" spans="1:34" ht="15" hidden="1" customHeight="1">
      <c r="A33" s="250"/>
      <c r="B33" s="311" t="s">
        <v>266</v>
      </c>
      <c r="C33" s="312"/>
      <c r="D33" s="313"/>
      <c r="E33" s="314">
        <f>C33*D33</f>
        <v>0</v>
      </c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V33" s="250"/>
      <c r="W33" s="250"/>
      <c r="X33" s="250"/>
      <c r="Y33" s="250"/>
      <c r="Z33" s="250"/>
      <c r="AA33" s="250"/>
      <c r="AB33" s="250"/>
      <c r="AC33" s="250"/>
    </row>
    <row r="34" spans="1:34" ht="15" hidden="1" customHeight="1">
      <c r="A34" s="250"/>
      <c r="B34" s="311" t="s">
        <v>267</v>
      </c>
      <c r="C34" s="312"/>
      <c r="D34" s="313"/>
      <c r="E34" s="314">
        <f>C34*D34</f>
        <v>0</v>
      </c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V34" s="250"/>
      <c r="W34" s="250"/>
      <c r="X34" s="250"/>
      <c r="Y34" s="250"/>
      <c r="Z34" s="250"/>
      <c r="AA34" s="250"/>
      <c r="AB34" s="250"/>
      <c r="AC34" s="250"/>
    </row>
    <row r="35" spans="1:34" ht="15" hidden="1" customHeight="1">
      <c r="A35" s="250"/>
      <c r="B35" s="311" t="s">
        <v>268</v>
      </c>
      <c r="C35" s="312"/>
      <c r="D35" s="313"/>
      <c r="E35" s="314">
        <f>C35*D35</f>
        <v>0</v>
      </c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V35" s="250"/>
      <c r="W35" s="250"/>
      <c r="X35" s="250"/>
      <c r="Y35" s="250"/>
      <c r="Z35" s="250"/>
      <c r="AA35" s="250"/>
      <c r="AB35" s="250"/>
      <c r="AC35" s="250"/>
    </row>
    <row r="36" spans="1:34" ht="13.5" hidden="1" thickBot="1">
      <c r="A36" s="250"/>
      <c r="B36" s="315" t="s">
        <v>259</v>
      </c>
      <c r="C36" s="316">
        <f>SUM(C32:C35)</f>
        <v>0</v>
      </c>
      <c r="D36" s="317"/>
      <c r="E36" s="318">
        <f>SUM(E32:E35)</f>
        <v>0</v>
      </c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V36" s="250"/>
      <c r="W36" s="250"/>
      <c r="X36" s="250"/>
      <c r="Y36" s="250"/>
      <c r="Z36" s="250"/>
      <c r="AA36" s="250"/>
      <c r="AB36" s="250"/>
      <c r="AC36" s="250"/>
    </row>
    <row r="37" spans="1:34" hidden="1">
      <c r="A37" s="250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</row>
    <row r="38" spans="1:34" ht="16.5" hidden="1" thickBot="1">
      <c r="A38" s="250"/>
      <c r="B38" s="306" t="s">
        <v>269</v>
      </c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</row>
    <row r="39" spans="1:34" ht="14.25" hidden="1" customHeight="1">
      <c r="A39" s="250"/>
      <c r="B39" s="576" t="s">
        <v>270</v>
      </c>
      <c r="C39" s="583" t="s">
        <v>271</v>
      </c>
      <c r="D39" s="584"/>
      <c r="E39" s="587" t="s">
        <v>272</v>
      </c>
      <c r="F39" s="571"/>
      <c r="G39" s="571"/>
      <c r="H39" s="571"/>
      <c r="I39" s="571"/>
      <c r="J39" s="571"/>
      <c r="K39" s="571"/>
      <c r="L39" s="571"/>
      <c r="M39" s="571"/>
      <c r="N39" s="588"/>
      <c r="O39" s="583" t="s">
        <v>264</v>
      </c>
      <c r="P39" s="584"/>
      <c r="S39" s="250"/>
      <c r="T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</row>
    <row r="40" spans="1:34" ht="14.25" hidden="1" customHeight="1">
      <c r="A40" s="250"/>
      <c r="B40" s="577"/>
      <c r="C40" s="585"/>
      <c r="D40" s="586"/>
      <c r="E40" s="589" t="s">
        <v>235</v>
      </c>
      <c r="F40" s="590"/>
      <c r="G40" s="590"/>
      <c r="H40" s="590"/>
      <c r="I40" s="591"/>
      <c r="J40" s="578" t="s">
        <v>273</v>
      </c>
      <c r="K40" s="578" t="s">
        <v>241</v>
      </c>
      <c r="L40" s="578" t="s">
        <v>243</v>
      </c>
      <c r="M40" s="578" t="s">
        <v>274</v>
      </c>
      <c r="N40" s="578" t="s">
        <v>275</v>
      </c>
      <c r="O40" s="585"/>
      <c r="P40" s="586"/>
      <c r="Q40" s="250"/>
      <c r="R40" s="250"/>
      <c r="S40" s="250"/>
      <c r="T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</row>
    <row r="41" spans="1:34" ht="38.25" hidden="1" customHeight="1">
      <c r="A41" s="250"/>
      <c r="B41" s="577"/>
      <c r="C41" s="320" t="s">
        <v>237</v>
      </c>
      <c r="D41" s="320" t="s">
        <v>276</v>
      </c>
      <c r="E41" s="320" t="s">
        <v>80</v>
      </c>
      <c r="F41" s="320" t="s">
        <v>238</v>
      </c>
      <c r="G41" s="320" t="s">
        <v>82</v>
      </c>
      <c r="H41" s="320" t="s">
        <v>239</v>
      </c>
      <c r="I41" s="320" t="s">
        <v>86</v>
      </c>
      <c r="J41" s="579"/>
      <c r="K41" s="579"/>
      <c r="L41" s="579"/>
      <c r="M41" s="579"/>
      <c r="N41" s="579"/>
      <c r="O41" s="320" t="s">
        <v>277</v>
      </c>
      <c r="P41" s="320" t="s">
        <v>278</v>
      </c>
      <c r="Q41" s="250"/>
      <c r="R41" s="250"/>
      <c r="S41" s="250"/>
      <c r="T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</row>
    <row r="42" spans="1:34" hidden="1">
      <c r="A42" s="250"/>
      <c r="B42" s="321" t="s">
        <v>279</v>
      </c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250"/>
      <c r="R42" s="250"/>
      <c r="S42" s="250"/>
      <c r="T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</row>
    <row r="43" spans="1:34" hidden="1">
      <c r="A43" s="250"/>
      <c r="B43" s="321" t="s">
        <v>275</v>
      </c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250"/>
      <c r="R43" s="250"/>
      <c r="S43" s="250"/>
      <c r="T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</row>
    <row r="44" spans="1:34" ht="13.5" hidden="1" thickBot="1">
      <c r="A44" s="250"/>
      <c r="B44" s="315" t="s">
        <v>237</v>
      </c>
      <c r="C44" s="316">
        <f>SUM(C42:C43)</f>
        <v>0</v>
      </c>
      <c r="D44" s="316">
        <f t="shared" ref="D44:P44" si="0">SUM(D42:D43)</f>
        <v>0</v>
      </c>
      <c r="E44" s="316">
        <f t="shared" si="0"/>
        <v>0</v>
      </c>
      <c r="F44" s="316">
        <f t="shared" si="0"/>
        <v>0</v>
      </c>
      <c r="G44" s="316">
        <f t="shared" si="0"/>
        <v>0</v>
      </c>
      <c r="H44" s="316">
        <f t="shared" si="0"/>
        <v>0</v>
      </c>
      <c r="I44" s="316">
        <f t="shared" si="0"/>
        <v>0</v>
      </c>
      <c r="J44" s="316">
        <f t="shared" si="0"/>
        <v>0</v>
      </c>
      <c r="K44" s="316">
        <f t="shared" si="0"/>
        <v>0</v>
      </c>
      <c r="L44" s="316">
        <f t="shared" si="0"/>
        <v>0</v>
      </c>
      <c r="M44" s="316">
        <f t="shared" si="0"/>
        <v>0</v>
      </c>
      <c r="N44" s="316">
        <f t="shared" si="0"/>
        <v>0</v>
      </c>
      <c r="O44" s="316">
        <f t="shared" si="0"/>
        <v>0</v>
      </c>
      <c r="P44" s="316">
        <f t="shared" si="0"/>
        <v>0</v>
      </c>
      <c r="Q44" s="250"/>
      <c r="R44" s="250"/>
      <c r="S44" s="250"/>
      <c r="T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</row>
    <row r="45" spans="1:34" hidden="1">
      <c r="A45" s="250"/>
      <c r="B45" s="255"/>
      <c r="C45" s="255"/>
      <c r="D45" s="32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0"/>
      <c r="T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</row>
    <row r="46" spans="1:34" ht="16.5" hidden="1" thickBot="1">
      <c r="A46" s="250"/>
      <c r="B46" s="306" t="s">
        <v>280</v>
      </c>
      <c r="C46" s="255"/>
      <c r="D46" s="32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0"/>
      <c r="T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</row>
    <row r="47" spans="1:34" ht="14.25" hidden="1" customHeight="1">
      <c r="A47" s="250"/>
      <c r="B47" s="580" t="s">
        <v>281</v>
      </c>
      <c r="C47" s="583" t="s">
        <v>282</v>
      </c>
      <c r="D47" s="584"/>
      <c r="E47" s="587" t="s">
        <v>272</v>
      </c>
      <c r="F47" s="571"/>
      <c r="G47" s="571"/>
      <c r="H47" s="571"/>
      <c r="I47" s="571"/>
      <c r="J47" s="571"/>
      <c r="K47" s="571"/>
      <c r="L47" s="571"/>
      <c r="M47" s="571"/>
      <c r="N47" s="588"/>
      <c r="O47" s="583" t="s">
        <v>264</v>
      </c>
      <c r="P47" s="584"/>
      <c r="Q47" s="250"/>
      <c r="R47" s="250"/>
      <c r="S47" s="250"/>
      <c r="T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</row>
    <row r="48" spans="1:34" ht="14.25" hidden="1" customHeight="1">
      <c r="A48" s="250"/>
      <c r="B48" s="581"/>
      <c r="C48" s="585"/>
      <c r="D48" s="586"/>
      <c r="E48" s="589" t="s">
        <v>235</v>
      </c>
      <c r="F48" s="590"/>
      <c r="G48" s="590"/>
      <c r="H48" s="590"/>
      <c r="I48" s="591"/>
      <c r="J48" s="578" t="s">
        <v>273</v>
      </c>
      <c r="K48" s="578" t="s">
        <v>241</v>
      </c>
      <c r="L48" s="578" t="s">
        <v>243</v>
      </c>
      <c r="M48" s="578" t="s">
        <v>274</v>
      </c>
      <c r="N48" s="578" t="s">
        <v>275</v>
      </c>
      <c r="O48" s="585"/>
      <c r="P48" s="586"/>
      <c r="Q48" s="250"/>
      <c r="R48" s="250"/>
      <c r="S48" s="250"/>
      <c r="T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</row>
    <row r="49" spans="1:34" ht="35.25" hidden="1" customHeight="1">
      <c r="A49" s="250"/>
      <c r="B49" s="582"/>
      <c r="C49" s="320" t="s">
        <v>237</v>
      </c>
      <c r="D49" s="320" t="s">
        <v>276</v>
      </c>
      <c r="E49" s="320" t="s">
        <v>80</v>
      </c>
      <c r="F49" s="320" t="s">
        <v>238</v>
      </c>
      <c r="G49" s="320" t="s">
        <v>82</v>
      </c>
      <c r="H49" s="320" t="s">
        <v>239</v>
      </c>
      <c r="I49" s="320" t="s">
        <v>86</v>
      </c>
      <c r="J49" s="579"/>
      <c r="K49" s="579"/>
      <c r="L49" s="579"/>
      <c r="M49" s="579"/>
      <c r="N49" s="579"/>
      <c r="O49" s="320" t="s">
        <v>277</v>
      </c>
      <c r="P49" s="320" t="s">
        <v>278</v>
      </c>
      <c r="Q49" s="250"/>
      <c r="R49" s="250"/>
      <c r="S49" s="250"/>
      <c r="T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</row>
    <row r="50" spans="1:34" hidden="1">
      <c r="B50" s="321" t="s">
        <v>279</v>
      </c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4"/>
      <c r="Q50" s="250"/>
      <c r="R50" s="250"/>
      <c r="S50" s="250"/>
      <c r="T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</row>
    <row r="51" spans="1:34" hidden="1">
      <c r="A51" s="250"/>
      <c r="B51" s="321" t="s">
        <v>283</v>
      </c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4"/>
      <c r="Q51" s="250"/>
      <c r="R51" s="250"/>
      <c r="S51" s="250"/>
      <c r="T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</row>
    <row r="52" spans="1:34" hidden="1">
      <c r="A52" s="250"/>
      <c r="B52" s="321" t="s">
        <v>275</v>
      </c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4"/>
      <c r="Q52" s="250"/>
      <c r="R52" s="250"/>
      <c r="S52" s="250"/>
      <c r="T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</row>
    <row r="53" spans="1:34" ht="13.5" hidden="1" thickBot="1">
      <c r="A53" s="250"/>
      <c r="B53" s="315" t="s">
        <v>237</v>
      </c>
      <c r="C53" s="316">
        <v>0</v>
      </c>
      <c r="D53" s="316">
        <v>0</v>
      </c>
      <c r="E53" s="316">
        <v>0</v>
      </c>
      <c r="F53" s="316">
        <v>0</v>
      </c>
      <c r="G53" s="316">
        <v>0</v>
      </c>
      <c r="H53" s="316">
        <v>0</v>
      </c>
      <c r="I53" s="316">
        <v>0</v>
      </c>
      <c r="J53" s="316">
        <v>0</v>
      </c>
      <c r="K53" s="316">
        <v>0</v>
      </c>
      <c r="L53" s="316">
        <v>0</v>
      </c>
      <c r="M53" s="316">
        <v>0</v>
      </c>
      <c r="N53" s="316">
        <v>0</v>
      </c>
      <c r="O53" s="316">
        <v>0</v>
      </c>
      <c r="P53" s="316">
        <v>0</v>
      </c>
      <c r="Q53" s="250"/>
      <c r="R53" s="250"/>
      <c r="S53" s="250"/>
      <c r="T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</row>
    <row r="54" spans="1:34" hidden="1">
      <c r="A54" s="250"/>
      <c r="B54" s="255"/>
      <c r="C54" s="255"/>
      <c r="D54" s="32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0"/>
      <c r="T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</row>
    <row r="55" spans="1:34" ht="16.5" thickBot="1">
      <c r="A55" s="250"/>
      <c r="B55" s="306" t="s">
        <v>116</v>
      </c>
      <c r="C55" s="325"/>
      <c r="D55" s="325"/>
      <c r="E55" s="325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0"/>
      <c r="T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</row>
    <row r="56" spans="1:34" ht="15" customHeight="1">
      <c r="A56" s="250"/>
      <c r="B56" s="576" t="s">
        <v>295</v>
      </c>
      <c r="C56" s="567" t="s">
        <v>77</v>
      </c>
      <c r="D56" s="567"/>
      <c r="E56" s="567" t="s">
        <v>234</v>
      </c>
      <c r="F56" s="567" t="s">
        <v>235</v>
      </c>
      <c r="G56" s="567"/>
      <c r="H56" s="567"/>
      <c r="I56" s="567"/>
      <c r="J56" s="567"/>
      <c r="K56" s="567"/>
      <c r="L56" s="567"/>
      <c r="M56" s="567"/>
      <c r="N56" s="567" t="s">
        <v>236</v>
      </c>
      <c r="O56" s="567"/>
      <c r="P56" s="567"/>
      <c r="Q56" s="567"/>
      <c r="R56" s="569"/>
      <c r="S56" s="250"/>
      <c r="T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</row>
    <row r="57" spans="1:34" ht="30" customHeight="1">
      <c r="A57" s="250"/>
      <c r="B57" s="577"/>
      <c r="C57" s="320" t="s">
        <v>284</v>
      </c>
      <c r="D57" s="320" t="s">
        <v>285</v>
      </c>
      <c r="E57" s="568"/>
      <c r="F57" s="320" t="s">
        <v>80</v>
      </c>
      <c r="G57" s="320" t="s">
        <v>238</v>
      </c>
      <c r="H57" s="320" t="s">
        <v>82</v>
      </c>
      <c r="I57" s="320" t="s">
        <v>286</v>
      </c>
      <c r="J57" s="320" t="s">
        <v>85</v>
      </c>
      <c r="K57" s="320" t="s">
        <v>239</v>
      </c>
      <c r="L57" s="320" t="s">
        <v>86</v>
      </c>
      <c r="M57" s="320" t="s">
        <v>240</v>
      </c>
      <c r="N57" s="320" t="s">
        <v>242</v>
      </c>
      <c r="O57" s="320" t="s">
        <v>241</v>
      </c>
      <c r="P57" s="320" t="s">
        <v>243</v>
      </c>
      <c r="Q57" s="320" t="s">
        <v>244</v>
      </c>
      <c r="R57" s="326" t="s">
        <v>245</v>
      </c>
      <c r="S57" s="250"/>
      <c r="T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</row>
    <row r="58" spans="1:34" ht="14.25">
      <c r="A58" s="250"/>
      <c r="B58" s="358" t="s">
        <v>296</v>
      </c>
      <c r="C58" s="362">
        <v>0.79800000000000004</v>
      </c>
      <c r="D58" s="357" t="s">
        <v>139</v>
      </c>
      <c r="E58" s="362">
        <v>0.3528</v>
      </c>
      <c r="F58" s="362">
        <v>0.20095199999999999</v>
      </c>
      <c r="G58" s="362">
        <v>0.22478400000000001</v>
      </c>
      <c r="H58" s="362">
        <v>0.27572400000000002</v>
      </c>
      <c r="I58" s="362">
        <v>0.263988</v>
      </c>
      <c r="J58" s="362">
        <v>0.24699599999999999</v>
      </c>
      <c r="K58" s="362">
        <v>0</v>
      </c>
      <c r="L58" s="362">
        <v>0.341028</v>
      </c>
      <c r="M58" s="362">
        <v>0.338256</v>
      </c>
      <c r="N58" s="357">
        <v>0</v>
      </c>
      <c r="O58" s="357">
        <v>0</v>
      </c>
      <c r="P58" s="357">
        <v>0</v>
      </c>
      <c r="Q58" s="357">
        <v>0</v>
      </c>
      <c r="R58" s="357">
        <v>0</v>
      </c>
      <c r="S58" s="250"/>
      <c r="T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</row>
    <row r="59" spans="1:34" ht="14.25">
      <c r="A59" s="250"/>
      <c r="B59" s="358" t="s">
        <v>297</v>
      </c>
      <c r="C59" s="363">
        <v>1.2E-5</v>
      </c>
      <c r="D59" s="357" t="s">
        <v>139</v>
      </c>
      <c r="E59" s="357">
        <v>0</v>
      </c>
      <c r="F59" s="481">
        <v>3.5999999999999998E-6</v>
      </c>
      <c r="G59" s="481">
        <v>3.5999999999999998E-6</v>
      </c>
      <c r="H59" s="363">
        <v>3.6000000000000001E-5</v>
      </c>
      <c r="I59" s="363">
        <v>1.08E-5</v>
      </c>
      <c r="J59" s="363">
        <v>1.08E-5</v>
      </c>
      <c r="K59" s="363">
        <v>0</v>
      </c>
      <c r="L59" s="363">
        <v>1.08E-3</v>
      </c>
      <c r="M59" s="363">
        <v>3.6000000000000001E-5</v>
      </c>
      <c r="N59" s="357">
        <v>0</v>
      </c>
      <c r="O59" s="357">
        <v>0</v>
      </c>
      <c r="P59" s="357">
        <v>0</v>
      </c>
      <c r="Q59" s="357">
        <v>0</v>
      </c>
      <c r="R59" s="357">
        <v>0</v>
      </c>
      <c r="S59" s="250"/>
      <c r="T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</row>
    <row r="60" spans="1:34" ht="14.25">
      <c r="A60" s="250"/>
      <c r="B60" s="358" t="s">
        <v>298</v>
      </c>
      <c r="C60" s="363">
        <v>1.7999999999999997E-5</v>
      </c>
      <c r="D60" s="357" t="s">
        <v>139</v>
      </c>
      <c r="E60" s="357">
        <v>0</v>
      </c>
      <c r="F60" s="482">
        <v>3.5999999999999999E-7</v>
      </c>
      <c r="G60" s="482">
        <v>3.5999999999999999E-7</v>
      </c>
      <c r="H60" s="481">
        <v>2.1600000000000001E-6</v>
      </c>
      <c r="I60" s="481">
        <v>2.1600000000000001E-6</v>
      </c>
      <c r="J60" s="481">
        <v>2.1600000000000001E-6</v>
      </c>
      <c r="K60" s="363">
        <v>0</v>
      </c>
      <c r="L60" s="481">
        <v>5.04E-6</v>
      </c>
      <c r="M60" s="481">
        <v>5.04E-6</v>
      </c>
      <c r="N60" s="357">
        <v>0</v>
      </c>
      <c r="O60" s="357">
        <v>0</v>
      </c>
      <c r="P60" s="357">
        <v>0</v>
      </c>
      <c r="Q60" s="357">
        <v>0</v>
      </c>
      <c r="R60" s="357">
        <v>0</v>
      </c>
      <c r="S60" s="250"/>
      <c r="T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</row>
    <row r="61" spans="1:34" ht="14.25">
      <c r="A61" s="250"/>
      <c r="B61" s="358" t="s">
        <v>299</v>
      </c>
      <c r="C61" s="357">
        <v>28</v>
      </c>
      <c r="D61" s="357">
        <v>28</v>
      </c>
      <c r="E61" s="357">
        <v>28</v>
      </c>
      <c r="F61" s="357">
        <v>28</v>
      </c>
      <c r="G61" s="357">
        <v>28</v>
      </c>
      <c r="H61" s="357">
        <v>28</v>
      </c>
      <c r="I61" s="357">
        <v>28</v>
      </c>
      <c r="J61" s="357">
        <v>28</v>
      </c>
      <c r="K61" s="357">
        <v>28</v>
      </c>
      <c r="L61" s="357">
        <v>28</v>
      </c>
      <c r="M61" s="357">
        <v>28</v>
      </c>
      <c r="N61" s="357">
        <v>28</v>
      </c>
      <c r="O61" s="357">
        <v>28</v>
      </c>
      <c r="P61" s="357">
        <v>28</v>
      </c>
      <c r="Q61" s="357">
        <v>28</v>
      </c>
      <c r="R61" s="357">
        <v>28</v>
      </c>
      <c r="S61" s="250"/>
      <c r="T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</row>
    <row r="62" spans="1:34" ht="15" thickBot="1">
      <c r="A62" s="250"/>
      <c r="B62" s="364" t="s">
        <v>300</v>
      </c>
      <c r="C62" s="327">
        <v>265</v>
      </c>
      <c r="D62" s="327">
        <v>265</v>
      </c>
      <c r="E62" s="327">
        <v>265</v>
      </c>
      <c r="F62" s="327">
        <v>265</v>
      </c>
      <c r="G62" s="327">
        <v>265</v>
      </c>
      <c r="H62" s="327">
        <v>265</v>
      </c>
      <c r="I62" s="327">
        <v>265</v>
      </c>
      <c r="J62" s="327">
        <v>265</v>
      </c>
      <c r="K62" s="327">
        <v>265</v>
      </c>
      <c r="L62" s="327">
        <v>265</v>
      </c>
      <c r="M62" s="327">
        <v>265</v>
      </c>
      <c r="N62" s="327">
        <v>265</v>
      </c>
      <c r="O62" s="327">
        <v>265</v>
      </c>
      <c r="P62" s="327">
        <v>265</v>
      </c>
      <c r="Q62" s="327">
        <v>265</v>
      </c>
      <c r="R62" s="327">
        <v>265</v>
      </c>
      <c r="S62" s="250"/>
      <c r="T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</row>
    <row r="63" spans="1:34">
      <c r="A63" s="250"/>
      <c r="B63" s="255"/>
      <c r="C63" s="255"/>
      <c r="D63" s="32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0"/>
      <c r="T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</row>
    <row r="64" spans="1:34" ht="16.5" thickBot="1">
      <c r="A64" s="250"/>
      <c r="B64" s="306" t="s">
        <v>287</v>
      </c>
      <c r="C64" s="325"/>
      <c r="D64" s="325"/>
      <c r="E64" s="325"/>
      <c r="F64" s="325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0"/>
      <c r="T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</row>
    <row r="65" spans="1:34" ht="25.5" customHeight="1">
      <c r="A65" s="250"/>
      <c r="B65" s="328" t="s">
        <v>288</v>
      </c>
      <c r="C65" s="329" t="s">
        <v>289</v>
      </c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0"/>
      <c r="Q65" s="250"/>
      <c r="R65" s="250"/>
      <c r="S65" s="250"/>
      <c r="T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</row>
    <row r="66" spans="1:34" ht="15" customHeight="1">
      <c r="A66" s="250"/>
      <c r="B66" s="321" t="s">
        <v>4</v>
      </c>
      <c r="C66" s="365">
        <v>4835</v>
      </c>
      <c r="D66" s="253"/>
      <c r="E66" s="253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0"/>
      <c r="Q66" s="250"/>
      <c r="R66" s="250"/>
      <c r="S66" s="250"/>
      <c r="T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</row>
    <row r="67" spans="1:34" ht="15" customHeight="1">
      <c r="A67" s="250"/>
      <c r="B67" s="321" t="s">
        <v>18</v>
      </c>
      <c r="C67" s="330">
        <v>12102</v>
      </c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0"/>
      <c r="Q67" s="250"/>
      <c r="R67" s="250"/>
      <c r="S67" s="250"/>
      <c r="T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</row>
    <row r="68" spans="1:34" ht="15" customHeight="1" thickBot="1">
      <c r="A68" s="250"/>
      <c r="B68" s="331" t="s">
        <v>275</v>
      </c>
      <c r="C68" s="366">
        <v>-8793</v>
      </c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0"/>
      <c r="Q68" s="250"/>
      <c r="R68" s="250"/>
      <c r="S68" s="250"/>
      <c r="T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</row>
    <row r="69" spans="1:34" ht="10.5" customHeight="1">
      <c r="A69" s="250"/>
      <c r="B69" s="255"/>
      <c r="C69" s="255"/>
      <c r="D69" s="32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0"/>
      <c r="T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50"/>
    </row>
    <row r="70" spans="1:34" ht="16.5" thickBot="1">
      <c r="A70" s="250"/>
      <c r="B70" s="332" t="s">
        <v>290</v>
      </c>
      <c r="C70" s="333"/>
      <c r="D70" s="33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0"/>
      <c r="T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250"/>
    </row>
    <row r="71" spans="1:34" ht="14.25" customHeight="1">
      <c r="A71" s="334"/>
      <c r="B71" s="544" t="s">
        <v>2</v>
      </c>
      <c r="C71" s="545"/>
      <c r="D71" s="570" t="s">
        <v>291</v>
      </c>
      <c r="E71" s="571"/>
      <c r="F71" s="571"/>
      <c r="G71" s="571"/>
      <c r="H71" s="571"/>
      <c r="I71" s="571"/>
      <c r="J71" s="571"/>
      <c r="K71" s="571"/>
      <c r="L71" s="571"/>
      <c r="M71" s="571"/>
      <c r="N71" s="571"/>
      <c r="O71" s="571"/>
      <c r="P71" s="571"/>
      <c r="Q71" s="571"/>
      <c r="R71" s="571"/>
      <c r="S71" s="572"/>
      <c r="T71" s="334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250"/>
    </row>
    <row r="72" spans="1:34" ht="14.25" customHeight="1">
      <c r="A72" s="334"/>
      <c r="B72" s="546"/>
      <c r="C72" s="547"/>
      <c r="D72" s="551" t="s">
        <v>77</v>
      </c>
      <c r="E72" s="551" t="s">
        <v>234</v>
      </c>
      <c r="F72" s="551" t="s">
        <v>235</v>
      </c>
      <c r="G72" s="551"/>
      <c r="H72" s="551"/>
      <c r="I72" s="551"/>
      <c r="J72" s="551"/>
      <c r="K72" s="551"/>
      <c r="L72" s="551"/>
      <c r="M72" s="551"/>
      <c r="N72" s="551" t="s">
        <v>236</v>
      </c>
      <c r="O72" s="551"/>
      <c r="P72" s="551"/>
      <c r="Q72" s="551"/>
      <c r="R72" s="551"/>
      <c r="S72" s="563" t="s">
        <v>237</v>
      </c>
      <c r="T72" s="334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250"/>
    </row>
    <row r="73" spans="1:34" ht="26.25" thickBot="1">
      <c r="A73" s="334"/>
      <c r="B73" s="546"/>
      <c r="C73" s="547"/>
      <c r="D73" s="552"/>
      <c r="E73" s="552"/>
      <c r="F73" s="278" t="s">
        <v>80</v>
      </c>
      <c r="G73" s="278" t="s">
        <v>238</v>
      </c>
      <c r="H73" s="278" t="s">
        <v>82</v>
      </c>
      <c r="I73" s="278" t="s">
        <v>84</v>
      </c>
      <c r="J73" s="278" t="s">
        <v>85</v>
      </c>
      <c r="K73" s="278" t="s">
        <v>239</v>
      </c>
      <c r="L73" s="278" t="s">
        <v>86</v>
      </c>
      <c r="M73" s="278" t="s">
        <v>240</v>
      </c>
      <c r="N73" s="278" t="s">
        <v>241</v>
      </c>
      <c r="O73" s="278" t="s">
        <v>242</v>
      </c>
      <c r="P73" s="278" t="s">
        <v>243</v>
      </c>
      <c r="Q73" s="278" t="s">
        <v>244</v>
      </c>
      <c r="R73" s="278" t="s">
        <v>245</v>
      </c>
      <c r="S73" s="564"/>
      <c r="T73" s="334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250"/>
    </row>
    <row r="74" spans="1:34" ht="14.25" customHeight="1">
      <c r="A74" s="250"/>
      <c r="B74" s="335" t="s">
        <v>246</v>
      </c>
      <c r="C74" s="336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8"/>
      <c r="T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</row>
    <row r="75" spans="1:34" ht="14.25" customHeight="1">
      <c r="A75" s="250"/>
      <c r="B75" s="339" t="s">
        <v>247</v>
      </c>
      <c r="C75" s="340"/>
      <c r="D75" s="372">
        <v>37251</v>
      </c>
      <c r="E75" s="372">
        <v>52365</v>
      </c>
      <c r="F75" s="372">
        <v>17510</v>
      </c>
      <c r="G75" s="372">
        <v>14</v>
      </c>
      <c r="H75" s="372">
        <v>702</v>
      </c>
      <c r="I75" s="372">
        <v>0</v>
      </c>
      <c r="J75" s="372">
        <v>0</v>
      </c>
      <c r="K75" s="372">
        <v>0</v>
      </c>
      <c r="L75" s="372">
        <v>0</v>
      </c>
      <c r="M75" s="372">
        <v>138</v>
      </c>
      <c r="N75" s="372">
        <v>0</v>
      </c>
      <c r="O75" s="372">
        <v>0</v>
      </c>
      <c r="P75" s="372">
        <v>0</v>
      </c>
      <c r="Q75" s="372">
        <v>0</v>
      </c>
      <c r="R75" s="372">
        <v>0</v>
      </c>
      <c r="S75" s="341">
        <v>107980</v>
      </c>
      <c r="T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</row>
    <row r="76" spans="1:34" ht="14.25" customHeight="1">
      <c r="A76" s="250"/>
      <c r="B76" s="342" t="s">
        <v>248</v>
      </c>
      <c r="C76" s="343"/>
      <c r="D76" s="372">
        <v>731215</v>
      </c>
      <c r="E76" s="372">
        <v>156050</v>
      </c>
      <c r="F76" s="372">
        <v>42769</v>
      </c>
      <c r="G76" s="372">
        <v>394</v>
      </c>
      <c r="H76" s="372">
        <v>6523</v>
      </c>
      <c r="I76" s="372">
        <v>0</v>
      </c>
      <c r="J76" s="372">
        <v>0</v>
      </c>
      <c r="K76" s="372">
        <v>0</v>
      </c>
      <c r="L76" s="372">
        <v>0</v>
      </c>
      <c r="M76" s="372">
        <v>9664</v>
      </c>
      <c r="N76" s="372">
        <v>0</v>
      </c>
      <c r="O76" s="372">
        <v>0</v>
      </c>
      <c r="P76" s="372">
        <v>0</v>
      </c>
      <c r="Q76" s="372">
        <v>0</v>
      </c>
      <c r="R76" s="372">
        <v>0</v>
      </c>
      <c r="S76" s="341">
        <v>946615</v>
      </c>
      <c r="T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50"/>
    </row>
    <row r="77" spans="1:34" ht="14.25" customHeight="1">
      <c r="A77" s="250"/>
      <c r="B77" s="342" t="s">
        <v>0</v>
      </c>
      <c r="C77" s="343"/>
      <c r="D77" s="372">
        <v>448878</v>
      </c>
      <c r="E77" s="372">
        <v>436221</v>
      </c>
      <c r="F77" s="372">
        <v>208707</v>
      </c>
      <c r="G77" s="372">
        <v>6124</v>
      </c>
      <c r="H77" s="372">
        <v>823</v>
      </c>
      <c r="I77" s="372">
        <v>0</v>
      </c>
      <c r="J77" s="372">
        <v>0</v>
      </c>
      <c r="K77" s="372">
        <v>0</v>
      </c>
      <c r="L77" s="372">
        <v>219519</v>
      </c>
      <c r="M77" s="372">
        <v>0</v>
      </c>
      <c r="N77" s="372">
        <v>0</v>
      </c>
      <c r="O77" s="372">
        <v>0</v>
      </c>
      <c r="P77" s="372">
        <v>0</v>
      </c>
      <c r="Q77" s="372">
        <v>0</v>
      </c>
      <c r="R77" s="372">
        <v>0</v>
      </c>
      <c r="S77" s="341">
        <v>1320272</v>
      </c>
      <c r="T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250"/>
    </row>
    <row r="78" spans="1:34" ht="14.25" customHeight="1">
      <c r="A78" s="250"/>
      <c r="B78" s="342" t="s">
        <v>42</v>
      </c>
      <c r="C78" s="343"/>
      <c r="D78" s="372">
        <v>26737</v>
      </c>
      <c r="E78" s="372">
        <v>0</v>
      </c>
      <c r="F78" s="372">
        <v>101</v>
      </c>
      <c r="G78" s="372">
        <v>0</v>
      </c>
      <c r="H78" s="372">
        <v>0</v>
      </c>
      <c r="I78" s="372">
        <v>0</v>
      </c>
      <c r="J78" s="372">
        <v>0</v>
      </c>
      <c r="K78" s="372">
        <v>0</v>
      </c>
      <c r="L78" s="372">
        <v>0</v>
      </c>
      <c r="M78" s="372">
        <v>0</v>
      </c>
      <c r="N78" s="372">
        <v>0</v>
      </c>
      <c r="O78" s="372">
        <v>0</v>
      </c>
      <c r="P78" s="372">
        <v>0</v>
      </c>
      <c r="Q78" s="372">
        <v>0</v>
      </c>
      <c r="R78" s="372">
        <v>0</v>
      </c>
      <c r="S78" s="341">
        <v>26838</v>
      </c>
      <c r="T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250"/>
    </row>
    <row r="79" spans="1:34" ht="14.25" customHeight="1">
      <c r="A79" s="250"/>
      <c r="B79" s="573" t="s">
        <v>11</v>
      </c>
      <c r="C79" s="370" t="s">
        <v>249</v>
      </c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250"/>
    </row>
    <row r="80" spans="1:34" ht="14.25" customHeight="1">
      <c r="A80" s="250"/>
      <c r="B80" s="573"/>
      <c r="C80" s="370" t="s">
        <v>250</v>
      </c>
      <c r="D80" s="371"/>
      <c r="E80" s="371"/>
      <c r="F80" s="371"/>
      <c r="G80" s="371"/>
      <c r="H80" s="371"/>
      <c r="I80" s="371"/>
      <c r="J80" s="371"/>
      <c r="K80" s="371"/>
      <c r="L80" s="371"/>
      <c r="M80" s="371"/>
      <c r="N80" s="371"/>
      <c r="O80" s="371"/>
      <c r="P80" s="371"/>
      <c r="Q80" s="371"/>
      <c r="R80" s="371"/>
      <c r="S80" s="371"/>
      <c r="T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250"/>
    </row>
    <row r="81" spans="1:34">
      <c r="A81" s="250"/>
      <c r="B81" s="573"/>
      <c r="C81" s="290" t="s">
        <v>237</v>
      </c>
      <c r="D81" s="372">
        <v>474967</v>
      </c>
      <c r="E81" s="372">
        <v>36318</v>
      </c>
      <c r="F81" s="372">
        <v>75796</v>
      </c>
      <c r="G81" s="372">
        <v>0</v>
      </c>
      <c r="H81" s="372">
        <v>960</v>
      </c>
      <c r="I81" s="372">
        <v>0</v>
      </c>
      <c r="J81" s="372">
        <v>0</v>
      </c>
      <c r="K81" s="372">
        <v>0</v>
      </c>
      <c r="L81" s="372">
        <v>0</v>
      </c>
      <c r="M81" s="372">
        <v>22351</v>
      </c>
      <c r="N81" s="372">
        <v>0</v>
      </c>
      <c r="O81" s="372">
        <v>0</v>
      </c>
      <c r="P81" s="372">
        <v>0</v>
      </c>
      <c r="Q81" s="372">
        <v>0</v>
      </c>
      <c r="R81" s="372">
        <v>0</v>
      </c>
      <c r="S81" s="344">
        <v>610392</v>
      </c>
      <c r="T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250"/>
    </row>
    <row r="82" spans="1:34">
      <c r="A82" s="250"/>
      <c r="B82" s="345" t="s">
        <v>292</v>
      </c>
      <c r="C82" s="346"/>
      <c r="D82" s="373">
        <v>1719048</v>
      </c>
      <c r="E82" s="373">
        <v>680954</v>
      </c>
      <c r="F82" s="373">
        <v>344883</v>
      </c>
      <c r="G82" s="373">
        <v>6532</v>
      </c>
      <c r="H82" s="373">
        <v>9008</v>
      </c>
      <c r="I82" s="373">
        <v>0</v>
      </c>
      <c r="J82" s="373">
        <v>0</v>
      </c>
      <c r="K82" s="373">
        <v>0</v>
      </c>
      <c r="L82" s="373">
        <v>219519</v>
      </c>
      <c r="M82" s="373">
        <v>32153</v>
      </c>
      <c r="N82" s="373">
        <v>0</v>
      </c>
      <c r="O82" s="373">
        <v>0</v>
      </c>
      <c r="P82" s="373">
        <v>0</v>
      </c>
      <c r="Q82" s="373">
        <v>0</v>
      </c>
      <c r="R82" s="373">
        <v>0</v>
      </c>
      <c r="S82" s="341">
        <v>3012097</v>
      </c>
      <c r="T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250"/>
    </row>
    <row r="83" spans="1:34" ht="14.25" customHeight="1">
      <c r="A83" s="250"/>
      <c r="B83" s="347" t="s">
        <v>252</v>
      </c>
      <c r="C83" s="336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9"/>
      <c r="T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250"/>
    </row>
    <row r="84" spans="1:34" ht="14.25" customHeight="1">
      <c r="A84" s="250"/>
      <c r="B84" s="342" t="s">
        <v>253</v>
      </c>
      <c r="C84" s="350"/>
      <c r="D84" s="372">
        <v>0</v>
      </c>
      <c r="E84" s="372">
        <v>0</v>
      </c>
      <c r="F84" s="372">
        <v>0</v>
      </c>
      <c r="G84" s="372">
        <v>0</v>
      </c>
      <c r="H84" s="372">
        <v>0</v>
      </c>
      <c r="I84" s="372">
        <v>0</v>
      </c>
      <c r="J84" s="372">
        <v>4</v>
      </c>
      <c r="K84" s="372">
        <v>0</v>
      </c>
      <c r="L84" s="372">
        <v>0</v>
      </c>
      <c r="M84" s="372">
        <v>0</v>
      </c>
      <c r="N84" s="372">
        <v>0</v>
      </c>
      <c r="O84" s="372">
        <v>0</v>
      </c>
      <c r="P84" s="372">
        <v>0</v>
      </c>
      <c r="Q84" s="372">
        <v>0</v>
      </c>
      <c r="R84" s="372">
        <v>0</v>
      </c>
      <c r="S84" s="341">
        <v>4</v>
      </c>
      <c r="T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</row>
    <row r="85" spans="1:34" ht="14.25" customHeight="1">
      <c r="A85" s="250"/>
      <c r="B85" s="342" t="s">
        <v>254</v>
      </c>
      <c r="C85" s="350"/>
      <c r="D85" s="372">
        <v>49846</v>
      </c>
      <c r="E85" s="372">
        <v>0</v>
      </c>
      <c r="F85" s="372">
        <v>0</v>
      </c>
      <c r="G85" s="372">
        <v>0</v>
      </c>
      <c r="H85" s="372">
        <v>0</v>
      </c>
      <c r="I85" s="372">
        <v>29933</v>
      </c>
      <c r="J85" s="372">
        <v>0</v>
      </c>
      <c r="K85" s="372">
        <v>0</v>
      </c>
      <c r="L85" s="372">
        <v>0</v>
      </c>
      <c r="M85" s="372">
        <v>0</v>
      </c>
      <c r="N85" s="372">
        <v>0</v>
      </c>
      <c r="O85" s="372">
        <v>0</v>
      </c>
      <c r="P85" s="372">
        <v>0</v>
      </c>
      <c r="Q85" s="372">
        <v>0</v>
      </c>
      <c r="R85" s="372">
        <v>0</v>
      </c>
      <c r="S85" s="341">
        <v>79779</v>
      </c>
      <c r="T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250"/>
    </row>
    <row r="86" spans="1:34" ht="14.25" customHeight="1">
      <c r="A86" s="250"/>
      <c r="B86" s="342" t="s">
        <v>255</v>
      </c>
      <c r="C86" s="350"/>
      <c r="D86" s="372">
        <v>14486</v>
      </c>
      <c r="E86" s="372">
        <v>0</v>
      </c>
      <c r="F86" s="372">
        <v>534</v>
      </c>
      <c r="G86" s="372">
        <v>52683</v>
      </c>
      <c r="H86" s="372">
        <v>0</v>
      </c>
      <c r="I86" s="372">
        <v>521677</v>
      </c>
      <c r="J86" s="372">
        <v>410130</v>
      </c>
      <c r="K86" s="372">
        <v>0</v>
      </c>
      <c r="L86" s="372">
        <v>0</v>
      </c>
      <c r="M86" s="372">
        <v>0</v>
      </c>
      <c r="N86" s="372">
        <v>0</v>
      </c>
      <c r="O86" s="372">
        <v>0</v>
      </c>
      <c r="P86" s="372">
        <v>0</v>
      </c>
      <c r="Q86" s="372">
        <v>0</v>
      </c>
      <c r="R86" s="372">
        <v>0</v>
      </c>
      <c r="S86" s="341">
        <v>999510</v>
      </c>
      <c r="T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</row>
    <row r="87" spans="1:34">
      <c r="A87" s="250"/>
      <c r="B87" s="345" t="s">
        <v>292</v>
      </c>
      <c r="C87" s="346"/>
      <c r="D87" s="373">
        <v>64332</v>
      </c>
      <c r="E87" s="373">
        <v>0</v>
      </c>
      <c r="F87" s="373">
        <v>534</v>
      </c>
      <c r="G87" s="373">
        <v>52683</v>
      </c>
      <c r="H87" s="373">
        <v>0</v>
      </c>
      <c r="I87" s="373">
        <v>551610</v>
      </c>
      <c r="J87" s="373">
        <v>410134</v>
      </c>
      <c r="K87" s="373">
        <v>0</v>
      </c>
      <c r="L87" s="373">
        <v>0</v>
      </c>
      <c r="M87" s="373">
        <v>0</v>
      </c>
      <c r="N87" s="373">
        <v>0</v>
      </c>
      <c r="O87" s="373">
        <v>0</v>
      </c>
      <c r="P87" s="373">
        <v>0</v>
      </c>
      <c r="Q87" s="373">
        <v>0</v>
      </c>
      <c r="R87" s="373">
        <v>0</v>
      </c>
      <c r="S87" s="341">
        <v>1079293</v>
      </c>
      <c r="T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</row>
    <row r="88" spans="1:34">
      <c r="A88" s="250"/>
      <c r="B88" s="347" t="s">
        <v>293</v>
      </c>
      <c r="C88" s="336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9"/>
      <c r="T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</row>
    <row r="89" spans="1:34" ht="14.25" customHeight="1">
      <c r="A89" s="250"/>
      <c r="B89" s="342" t="s">
        <v>258</v>
      </c>
      <c r="C89" s="350"/>
      <c r="D89" s="372">
        <v>0</v>
      </c>
      <c r="E89" s="372">
        <v>0</v>
      </c>
      <c r="F89" s="372">
        <v>767</v>
      </c>
      <c r="G89" s="372">
        <v>0</v>
      </c>
      <c r="H89" s="372">
        <v>0</v>
      </c>
      <c r="I89" s="372">
        <v>2887</v>
      </c>
      <c r="J89" s="372">
        <v>0</v>
      </c>
      <c r="K89" s="372">
        <v>0</v>
      </c>
      <c r="L89" s="372">
        <v>0</v>
      </c>
      <c r="M89" s="372">
        <v>0</v>
      </c>
      <c r="N89" s="372">
        <v>0</v>
      </c>
      <c r="O89" s="372">
        <v>0</v>
      </c>
      <c r="P89" s="372">
        <v>0</v>
      </c>
      <c r="Q89" s="372">
        <v>0</v>
      </c>
      <c r="R89" s="372">
        <v>0</v>
      </c>
      <c r="S89" s="341">
        <v>3654</v>
      </c>
      <c r="T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250"/>
    </row>
    <row r="90" spans="1:34">
      <c r="A90" s="250"/>
      <c r="B90" s="335" t="s">
        <v>294</v>
      </c>
      <c r="C90" s="351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9"/>
      <c r="T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250"/>
    </row>
    <row r="91" spans="1:34">
      <c r="A91" s="250"/>
      <c r="B91" s="359" t="s">
        <v>4</v>
      </c>
      <c r="C91" s="360"/>
      <c r="D91" s="37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6"/>
      <c r="S91" s="341">
        <v>4835</v>
      </c>
      <c r="T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250"/>
    </row>
    <row r="92" spans="1:34">
      <c r="A92" s="250"/>
      <c r="B92" s="359" t="s">
        <v>18</v>
      </c>
      <c r="C92" s="360"/>
      <c r="D92" s="377"/>
      <c r="E92" s="378"/>
      <c r="F92" s="378"/>
      <c r="G92" s="378"/>
      <c r="H92" s="378"/>
      <c r="I92" s="378"/>
      <c r="J92" s="378"/>
      <c r="K92" s="378"/>
      <c r="L92" s="378"/>
      <c r="M92" s="378"/>
      <c r="N92" s="378"/>
      <c r="O92" s="378"/>
      <c r="P92" s="378"/>
      <c r="Q92" s="378"/>
      <c r="R92" s="379"/>
      <c r="S92" s="341">
        <v>12102</v>
      </c>
      <c r="T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250"/>
    </row>
    <row r="93" spans="1:34" ht="14.25" customHeight="1">
      <c r="A93" s="250"/>
      <c r="B93" s="359" t="s">
        <v>275</v>
      </c>
      <c r="C93" s="361"/>
      <c r="D93" s="380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2"/>
      <c r="S93" s="341">
        <v>-8792</v>
      </c>
      <c r="T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250"/>
    </row>
    <row r="94" spans="1:34" ht="13.5" thickBot="1">
      <c r="A94" s="250"/>
      <c r="B94" s="352" t="s">
        <v>259</v>
      </c>
      <c r="C94" s="353"/>
      <c r="D94" s="387">
        <v>1783380</v>
      </c>
      <c r="E94" s="387">
        <v>680954</v>
      </c>
      <c r="F94" s="387">
        <v>346184</v>
      </c>
      <c r="G94" s="387">
        <v>59215</v>
      </c>
      <c r="H94" s="387">
        <v>9008</v>
      </c>
      <c r="I94" s="387">
        <v>554497</v>
      </c>
      <c r="J94" s="387">
        <v>410134</v>
      </c>
      <c r="K94" s="387">
        <v>0</v>
      </c>
      <c r="L94" s="387">
        <v>219519</v>
      </c>
      <c r="M94" s="387">
        <v>32153</v>
      </c>
      <c r="N94" s="387">
        <v>0</v>
      </c>
      <c r="O94" s="387">
        <v>0</v>
      </c>
      <c r="P94" s="387">
        <v>0</v>
      </c>
      <c r="Q94" s="387">
        <v>0</v>
      </c>
      <c r="R94" s="387">
        <v>0</v>
      </c>
      <c r="S94" s="388">
        <v>4103189</v>
      </c>
      <c r="T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250"/>
    </row>
    <row r="95" spans="1:34" s="250" customFormat="1">
      <c r="B95" s="255"/>
      <c r="C95" s="255"/>
      <c r="D95" s="513"/>
      <c r="E95" s="513"/>
      <c r="F95" s="513"/>
      <c r="G95" s="513"/>
      <c r="H95" s="513"/>
      <c r="I95" s="513"/>
      <c r="J95" s="513"/>
      <c r="K95" s="513"/>
      <c r="L95" s="513"/>
      <c r="M95" s="513"/>
      <c r="N95" s="513"/>
      <c r="O95" s="513"/>
      <c r="P95" s="513"/>
      <c r="Q95" s="513"/>
      <c r="R95" s="513"/>
      <c r="S95" s="483"/>
    </row>
    <row r="96" spans="1:34" s="250" customFormat="1"/>
    <row r="97" spans="1:34" s="250" customFormat="1"/>
    <row r="98" spans="1:34" s="250" customFormat="1"/>
    <row r="99" spans="1:34" s="250" customFormat="1"/>
    <row r="100" spans="1:34" s="250" customFormat="1"/>
    <row r="101" spans="1:34" s="250" customFormat="1"/>
    <row r="102" spans="1:34" s="250" customFormat="1"/>
    <row r="103" spans="1:34" s="250" customFormat="1"/>
    <row r="104" spans="1:34" s="250" customFormat="1"/>
    <row r="105" spans="1:34" s="250" customFormat="1"/>
    <row r="106" spans="1:34">
      <c r="A106" s="250"/>
      <c r="B106" s="250"/>
      <c r="C106" s="250"/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V106" s="250"/>
      <c r="W106" s="250"/>
      <c r="X106" s="250"/>
      <c r="Y106" s="250"/>
      <c r="Z106" s="250"/>
      <c r="AA106" s="250"/>
      <c r="AB106" s="250"/>
      <c r="AC106" s="250"/>
      <c r="AD106" s="250"/>
      <c r="AE106" s="250"/>
      <c r="AF106" s="250"/>
      <c r="AG106" s="250"/>
      <c r="AH106" s="250"/>
    </row>
    <row r="107" spans="1:34">
      <c r="A107" s="250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</row>
    <row r="108" spans="1:34">
      <c r="A108" s="250"/>
      <c r="B108" s="250"/>
      <c r="C108" s="250"/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</row>
    <row r="109" spans="1:34">
      <c r="A109" s="250"/>
      <c r="B109" s="250"/>
      <c r="C109" s="250"/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250"/>
      <c r="AG109" s="250"/>
      <c r="AH109" s="250"/>
    </row>
    <row r="110" spans="1:34">
      <c r="A110" s="250"/>
      <c r="B110" s="250"/>
      <c r="C110" s="250"/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  <c r="AH110" s="250"/>
    </row>
    <row r="111" spans="1:34">
      <c r="A111" s="250"/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</row>
    <row r="112" spans="1:34">
      <c r="A112" s="250"/>
      <c r="B112" s="250"/>
      <c r="C112" s="250"/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250"/>
      <c r="AG112" s="250"/>
      <c r="AH112" s="250"/>
    </row>
    <row r="113" spans="1:34">
      <c r="A113" s="250"/>
      <c r="B113" s="250"/>
      <c r="C113" s="250"/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V113" s="250"/>
      <c r="W113" s="250"/>
      <c r="X113" s="250"/>
      <c r="Y113" s="250"/>
      <c r="Z113" s="250"/>
      <c r="AA113" s="250"/>
      <c r="AB113" s="250"/>
      <c r="AC113" s="250"/>
      <c r="AD113" s="250"/>
      <c r="AE113" s="250"/>
      <c r="AF113" s="250"/>
      <c r="AG113" s="250"/>
      <c r="AH113" s="250"/>
    </row>
    <row r="114" spans="1:34">
      <c r="A114" s="250"/>
      <c r="B114" s="250"/>
      <c r="C114" s="250"/>
      <c r="D114" s="250"/>
      <c r="E114" s="250"/>
      <c r="F114" s="250"/>
      <c r="G114" s="250"/>
      <c r="H114" s="250"/>
      <c r="I114" s="250"/>
      <c r="J114" s="250"/>
      <c r="K114" s="250"/>
      <c r="L114" s="250">
        <f>22943331/4.2</f>
        <v>5462697.8571428573</v>
      </c>
      <c r="M114" s="250"/>
      <c r="N114" s="250"/>
      <c r="O114" s="250"/>
      <c r="P114" s="250"/>
      <c r="Q114" s="250"/>
      <c r="R114" s="250"/>
      <c r="S114" s="250"/>
      <c r="T114" s="250"/>
      <c r="V114" s="250"/>
      <c r="W114" s="250"/>
      <c r="X114" s="250"/>
      <c r="Y114" s="250"/>
      <c r="Z114" s="250"/>
      <c r="AA114" s="250"/>
      <c r="AB114" s="250"/>
      <c r="AC114" s="250"/>
      <c r="AD114" s="250"/>
      <c r="AE114" s="250"/>
      <c r="AF114" s="250"/>
      <c r="AG114" s="250"/>
      <c r="AH114" s="250"/>
    </row>
    <row r="115" spans="1:34">
      <c r="A115" s="250"/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250"/>
      <c r="T115" s="250"/>
      <c r="V115" s="250"/>
      <c r="W115" s="250"/>
      <c r="X115" s="250"/>
      <c r="Y115" s="250"/>
      <c r="Z115" s="250"/>
      <c r="AA115" s="250"/>
      <c r="AB115" s="250"/>
      <c r="AC115" s="250"/>
      <c r="AD115" s="250"/>
      <c r="AE115" s="250"/>
      <c r="AF115" s="250"/>
      <c r="AG115" s="250"/>
      <c r="AH115" s="250"/>
    </row>
    <row r="116" spans="1:34">
      <c r="A116" s="250"/>
      <c r="B116" s="250"/>
      <c r="C116" s="250"/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  <c r="V116" s="250"/>
      <c r="W116" s="250"/>
      <c r="X116" s="250"/>
      <c r="Y116" s="250"/>
      <c r="Z116" s="250"/>
      <c r="AA116" s="250"/>
      <c r="AB116" s="250"/>
      <c r="AC116" s="250"/>
      <c r="AD116" s="250"/>
      <c r="AE116" s="250"/>
      <c r="AF116" s="250"/>
      <c r="AG116" s="250"/>
      <c r="AH116" s="250"/>
    </row>
    <row r="117" spans="1:34">
      <c r="A117" s="250"/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V117" s="250"/>
      <c r="W117" s="250"/>
      <c r="X117" s="250"/>
      <c r="Y117" s="250"/>
      <c r="Z117" s="250"/>
      <c r="AA117" s="250"/>
      <c r="AB117" s="250"/>
      <c r="AC117" s="250"/>
      <c r="AD117" s="250"/>
      <c r="AE117" s="250"/>
      <c r="AF117" s="250"/>
      <c r="AG117" s="250"/>
      <c r="AH117" s="250"/>
    </row>
    <row r="118" spans="1:34">
      <c r="A118" s="250"/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</row>
    <row r="119" spans="1:34">
      <c r="A119" s="250"/>
      <c r="B119" s="250"/>
      <c r="C119" s="250"/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</row>
    <row r="120" spans="1:34">
      <c r="A120" s="250"/>
      <c r="B120" s="250"/>
      <c r="C120" s="250"/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V120" s="250"/>
      <c r="W120" s="250"/>
      <c r="X120" s="250"/>
      <c r="Y120" s="250"/>
      <c r="Z120" s="250"/>
      <c r="AA120" s="250"/>
      <c r="AB120" s="250"/>
      <c r="AC120" s="250"/>
      <c r="AD120" s="250"/>
      <c r="AE120" s="250"/>
      <c r="AF120" s="250"/>
      <c r="AG120" s="250"/>
      <c r="AH120" s="250"/>
    </row>
    <row r="121" spans="1:34">
      <c r="A121" s="250"/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V121" s="250"/>
      <c r="W121" s="250"/>
      <c r="X121" s="250"/>
      <c r="Y121" s="250"/>
      <c r="Z121" s="250"/>
      <c r="AA121" s="250"/>
      <c r="AB121" s="250"/>
      <c r="AC121" s="250"/>
      <c r="AD121" s="250"/>
      <c r="AE121" s="250"/>
      <c r="AF121" s="250"/>
      <c r="AG121" s="250"/>
      <c r="AH121" s="250"/>
    </row>
    <row r="122" spans="1:34">
      <c r="A122" s="250"/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V122" s="250"/>
      <c r="W122" s="250"/>
      <c r="X122" s="250"/>
      <c r="Y122" s="250"/>
      <c r="Z122" s="250"/>
      <c r="AA122" s="250"/>
      <c r="AB122" s="250"/>
      <c r="AC122" s="250"/>
      <c r="AD122" s="250"/>
      <c r="AE122" s="250"/>
      <c r="AF122" s="250"/>
      <c r="AG122" s="250"/>
      <c r="AH122" s="250"/>
    </row>
    <row r="123" spans="1:34">
      <c r="A123" s="250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V123" s="250"/>
      <c r="W123" s="250"/>
      <c r="X123" s="250"/>
      <c r="Y123" s="250"/>
      <c r="Z123" s="250"/>
      <c r="AA123" s="250"/>
      <c r="AB123" s="250"/>
      <c r="AC123" s="250"/>
      <c r="AD123" s="250"/>
      <c r="AE123" s="250"/>
      <c r="AF123" s="250"/>
      <c r="AG123" s="250"/>
      <c r="AH123" s="250"/>
    </row>
    <row r="124" spans="1:34">
      <c r="A124" s="250"/>
      <c r="B124" s="250"/>
      <c r="C124" s="250"/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V124" s="250"/>
      <c r="W124" s="250"/>
      <c r="X124" s="250"/>
      <c r="Y124" s="250"/>
      <c r="Z124" s="250"/>
      <c r="AA124" s="250"/>
      <c r="AB124" s="250"/>
      <c r="AC124" s="250"/>
      <c r="AD124" s="250"/>
      <c r="AE124" s="250"/>
      <c r="AF124" s="250"/>
      <c r="AG124" s="250"/>
      <c r="AH124" s="250"/>
    </row>
    <row r="125" spans="1:34">
      <c r="A125" s="250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V125" s="250"/>
      <c r="W125" s="250"/>
      <c r="X125" s="250"/>
      <c r="Y125" s="250"/>
      <c r="Z125" s="250"/>
      <c r="AA125" s="250"/>
      <c r="AB125" s="250"/>
      <c r="AC125" s="250"/>
      <c r="AD125" s="250"/>
      <c r="AE125" s="250"/>
      <c r="AF125" s="250"/>
      <c r="AG125" s="250"/>
      <c r="AH125" s="250"/>
    </row>
    <row r="126" spans="1:34">
      <c r="A126" s="250"/>
      <c r="B126" s="250"/>
      <c r="C126" s="250"/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V126" s="250"/>
      <c r="W126" s="250"/>
      <c r="X126" s="250"/>
      <c r="Y126" s="250"/>
      <c r="Z126" s="250"/>
      <c r="AA126" s="250"/>
      <c r="AB126" s="250"/>
      <c r="AC126" s="250"/>
      <c r="AD126" s="250"/>
      <c r="AE126" s="250"/>
      <c r="AF126" s="250"/>
      <c r="AG126" s="250"/>
      <c r="AH126" s="250"/>
    </row>
    <row r="127" spans="1:34">
      <c r="A127" s="250"/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  <c r="AH127" s="250"/>
    </row>
    <row r="128" spans="1:34">
      <c r="A128" s="250"/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V128" s="250"/>
      <c r="W128" s="250"/>
      <c r="X128" s="250"/>
      <c r="Y128" s="250"/>
      <c r="Z128" s="250"/>
      <c r="AA128" s="250"/>
      <c r="AB128" s="250"/>
      <c r="AC128" s="250"/>
      <c r="AD128" s="250"/>
      <c r="AE128" s="250"/>
      <c r="AF128" s="250"/>
      <c r="AG128" s="250"/>
      <c r="AH128" s="250"/>
    </row>
    <row r="129" spans="1:34">
      <c r="A129" s="250"/>
      <c r="B129" s="250"/>
      <c r="C129" s="250"/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V129" s="250"/>
      <c r="W129" s="250"/>
      <c r="X129" s="250"/>
      <c r="Y129" s="250"/>
      <c r="Z129" s="250"/>
      <c r="AA129" s="250"/>
      <c r="AB129" s="250"/>
      <c r="AC129" s="250"/>
      <c r="AD129" s="250"/>
      <c r="AE129" s="250"/>
      <c r="AF129" s="250"/>
      <c r="AG129" s="250"/>
      <c r="AH129" s="250"/>
    </row>
    <row r="130" spans="1:34">
      <c r="A130" s="250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V130" s="250"/>
      <c r="W130" s="250"/>
      <c r="X130" s="250"/>
      <c r="Y130" s="250"/>
      <c r="Z130" s="250"/>
      <c r="AA130" s="250"/>
      <c r="AB130" s="250"/>
      <c r="AC130" s="250"/>
      <c r="AD130" s="250"/>
      <c r="AE130" s="250"/>
      <c r="AF130" s="250"/>
      <c r="AG130" s="250"/>
      <c r="AH130" s="250"/>
    </row>
    <row r="131" spans="1:34">
      <c r="A131" s="250"/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V131" s="250"/>
      <c r="W131" s="250"/>
      <c r="X131" s="250"/>
      <c r="Y131" s="250"/>
      <c r="Z131" s="250"/>
      <c r="AA131" s="250"/>
      <c r="AB131" s="250"/>
      <c r="AC131" s="250"/>
      <c r="AD131" s="250"/>
      <c r="AE131" s="250"/>
      <c r="AF131" s="250"/>
      <c r="AG131" s="250"/>
      <c r="AH131" s="250"/>
    </row>
    <row r="132" spans="1:34">
      <c r="A132" s="250"/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V132" s="250"/>
      <c r="W132" s="250"/>
      <c r="X132" s="250"/>
      <c r="Y132" s="250"/>
      <c r="Z132" s="250"/>
      <c r="AA132" s="250"/>
      <c r="AB132" s="250"/>
      <c r="AC132" s="250"/>
      <c r="AD132" s="250"/>
      <c r="AE132" s="250"/>
      <c r="AF132" s="250"/>
      <c r="AG132" s="250"/>
      <c r="AH132" s="250"/>
    </row>
    <row r="133" spans="1:34">
      <c r="A133" s="250"/>
      <c r="B133" s="250"/>
      <c r="C133" s="250"/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V133" s="250"/>
      <c r="W133" s="250"/>
      <c r="X133" s="250"/>
      <c r="Y133" s="250"/>
      <c r="Z133" s="250"/>
      <c r="AA133" s="250"/>
      <c r="AB133" s="250"/>
      <c r="AC133" s="250"/>
      <c r="AD133" s="250"/>
      <c r="AE133" s="250"/>
      <c r="AF133" s="250"/>
      <c r="AG133" s="250"/>
      <c r="AH133" s="250"/>
    </row>
    <row r="134" spans="1:34">
      <c r="A134" s="250"/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V134" s="250"/>
      <c r="W134" s="250"/>
      <c r="X134" s="250"/>
      <c r="Y134" s="250"/>
      <c r="Z134" s="250"/>
      <c r="AA134" s="250"/>
      <c r="AB134" s="250"/>
      <c r="AC134" s="250"/>
      <c r="AD134" s="250"/>
      <c r="AE134" s="250"/>
      <c r="AF134" s="250"/>
      <c r="AG134" s="250"/>
      <c r="AH134" s="250"/>
    </row>
    <row r="135" spans="1:34">
      <c r="A135" s="250"/>
      <c r="B135" s="250"/>
      <c r="C135" s="250"/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V135" s="250"/>
      <c r="W135" s="250"/>
      <c r="X135" s="250"/>
      <c r="Y135" s="250"/>
      <c r="Z135" s="250"/>
      <c r="AA135" s="250"/>
      <c r="AB135" s="250"/>
      <c r="AC135" s="250"/>
      <c r="AD135" s="250"/>
      <c r="AE135" s="250"/>
      <c r="AF135" s="250"/>
      <c r="AG135" s="250"/>
      <c r="AH135" s="250"/>
    </row>
    <row r="136" spans="1:34">
      <c r="A136" s="250"/>
      <c r="B136" s="250"/>
      <c r="C136" s="250"/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V136" s="250"/>
      <c r="W136" s="250"/>
      <c r="X136" s="250"/>
      <c r="Y136" s="250"/>
      <c r="Z136" s="250"/>
      <c r="AA136" s="250"/>
      <c r="AB136" s="250"/>
      <c r="AC136" s="250"/>
      <c r="AD136" s="250"/>
      <c r="AE136" s="250"/>
      <c r="AF136" s="250"/>
      <c r="AG136" s="250"/>
      <c r="AH136" s="250"/>
    </row>
    <row r="137" spans="1:34">
      <c r="A137" s="250"/>
      <c r="B137" s="250"/>
      <c r="C137" s="250"/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V137" s="250"/>
      <c r="W137" s="250"/>
      <c r="X137" s="250"/>
      <c r="Y137" s="250"/>
      <c r="Z137" s="250"/>
      <c r="AA137" s="250"/>
      <c r="AB137" s="250"/>
      <c r="AC137" s="250"/>
      <c r="AD137" s="250"/>
      <c r="AE137" s="250"/>
      <c r="AF137" s="250"/>
      <c r="AG137" s="250"/>
      <c r="AH137" s="250"/>
    </row>
    <row r="138" spans="1:34">
      <c r="A138" s="250"/>
      <c r="B138" s="250"/>
      <c r="C138" s="250"/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V138" s="250"/>
      <c r="W138" s="250"/>
      <c r="X138" s="250"/>
      <c r="Y138" s="250"/>
      <c r="Z138" s="250"/>
      <c r="AA138" s="250"/>
      <c r="AB138" s="250"/>
      <c r="AC138" s="250"/>
      <c r="AD138" s="250"/>
      <c r="AE138" s="250"/>
      <c r="AF138" s="250"/>
      <c r="AG138" s="250"/>
      <c r="AH138" s="250"/>
    </row>
    <row r="139" spans="1:34">
      <c r="A139" s="250"/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V139" s="250"/>
      <c r="W139" s="250"/>
      <c r="X139" s="250"/>
      <c r="Y139" s="250"/>
      <c r="Z139" s="250"/>
      <c r="AA139" s="250"/>
      <c r="AB139" s="250"/>
      <c r="AC139" s="250"/>
      <c r="AD139" s="250"/>
      <c r="AE139" s="250"/>
      <c r="AF139" s="250"/>
      <c r="AG139" s="250"/>
      <c r="AH139" s="250"/>
    </row>
    <row r="140" spans="1:34">
      <c r="A140" s="250"/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V140" s="250"/>
      <c r="W140" s="250"/>
      <c r="X140" s="250"/>
      <c r="Y140" s="250"/>
      <c r="Z140" s="250"/>
      <c r="AA140" s="250"/>
      <c r="AB140" s="250"/>
      <c r="AC140" s="250"/>
      <c r="AD140" s="250"/>
      <c r="AE140" s="250"/>
      <c r="AF140" s="250"/>
      <c r="AG140" s="250"/>
      <c r="AH140" s="250"/>
    </row>
    <row r="141" spans="1:34">
      <c r="A141" s="250"/>
      <c r="B141" s="250"/>
      <c r="C141" s="250"/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0"/>
      <c r="R141" s="250"/>
      <c r="S141" s="250"/>
      <c r="T141" s="250"/>
      <c r="V141" s="250"/>
      <c r="W141" s="250"/>
      <c r="X141" s="250"/>
      <c r="Y141" s="250"/>
      <c r="Z141" s="250"/>
      <c r="AA141" s="250"/>
      <c r="AB141" s="250"/>
      <c r="AC141" s="250"/>
      <c r="AD141" s="250"/>
      <c r="AE141" s="250"/>
      <c r="AF141" s="250"/>
      <c r="AG141" s="250"/>
      <c r="AH141" s="250"/>
    </row>
    <row r="142" spans="1:34">
      <c r="A142" s="250"/>
      <c r="B142" s="250"/>
      <c r="C142" s="250"/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V142" s="250"/>
      <c r="W142" s="250"/>
      <c r="X142" s="250"/>
      <c r="Y142" s="250"/>
      <c r="Z142" s="250"/>
      <c r="AA142" s="250"/>
      <c r="AB142" s="250"/>
      <c r="AC142" s="250"/>
      <c r="AD142" s="250"/>
      <c r="AE142" s="250"/>
      <c r="AF142" s="250"/>
      <c r="AG142" s="250"/>
      <c r="AH142" s="250"/>
    </row>
    <row r="143" spans="1:34">
      <c r="A143" s="250"/>
      <c r="B143" s="250"/>
      <c r="C143" s="250"/>
      <c r="D143" s="250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V143" s="250"/>
      <c r="W143" s="250"/>
      <c r="X143" s="250"/>
      <c r="Y143" s="250"/>
      <c r="Z143" s="250"/>
      <c r="AA143" s="250"/>
      <c r="AB143" s="250"/>
      <c r="AC143" s="250"/>
      <c r="AD143" s="250"/>
      <c r="AE143" s="250"/>
      <c r="AF143" s="250"/>
      <c r="AG143" s="250"/>
      <c r="AH143" s="250"/>
    </row>
    <row r="144" spans="1:34">
      <c r="A144" s="250"/>
      <c r="B144" s="250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V144" s="250"/>
      <c r="W144" s="250"/>
      <c r="X144" s="250"/>
      <c r="Y144" s="250"/>
      <c r="Z144" s="250"/>
      <c r="AA144" s="250"/>
      <c r="AB144" s="250"/>
      <c r="AC144" s="250"/>
      <c r="AD144" s="250"/>
      <c r="AE144" s="250"/>
      <c r="AF144" s="250"/>
      <c r="AG144" s="250"/>
      <c r="AH144" s="250"/>
    </row>
    <row r="145" spans="1:34">
      <c r="A145" s="250"/>
      <c r="B145" s="250"/>
      <c r="C145" s="250"/>
      <c r="D145" s="250"/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  <c r="P145" s="250"/>
      <c r="Q145" s="250"/>
      <c r="R145" s="250"/>
      <c r="S145" s="250"/>
      <c r="T145" s="250"/>
      <c r="V145" s="250"/>
      <c r="W145" s="250"/>
      <c r="X145" s="250"/>
      <c r="Y145" s="250"/>
      <c r="Z145" s="250"/>
      <c r="AA145" s="250"/>
      <c r="AB145" s="250"/>
      <c r="AC145" s="250"/>
      <c r="AD145" s="250"/>
      <c r="AE145" s="250"/>
      <c r="AF145" s="250"/>
      <c r="AG145" s="250"/>
      <c r="AH145" s="250"/>
    </row>
    <row r="146" spans="1:34">
      <c r="A146" s="250"/>
      <c r="B146" s="250"/>
      <c r="C146" s="250"/>
      <c r="D146" s="250"/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V146" s="250"/>
      <c r="W146" s="250"/>
      <c r="X146" s="250"/>
      <c r="Y146" s="250"/>
      <c r="Z146" s="250"/>
      <c r="AA146" s="250"/>
      <c r="AB146" s="250"/>
      <c r="AC146" s="250"/>
      <c r="AD146" s="250"/>
      <c r="AE146" s="250"/>
      <c r="AF146" s="250"/>
      <c r="AG146" s="250"/>
      <c r="AH146" s="250"/>
    </row>
    <row r="147" spans="1:34">
      <c r="A147" s="250"/>
      <c r="B147" s="250"/>
      <c r="C147" s="250"/>
      <c r="D147" s="250"/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V147" s="250"/>
      <c r="W147" s="250"/>
      <c r="X147" s="250"/>
      <c r="Y147" s="250"/>
      <c r="Z147" s="250"/>
      <c r="AA147" s="250"/>
      <c r="AB147" s="250"/>
      <c r="AC147" s="250"/>
      <c r="AD147" s="250"/>
      <c r="AE147" s="250"/>
      <c r="AF147" s="250"/>
      <c r="AG147" s="250"/>
      <c r="AH147" s="250"/>
    </row>
    <row r="148" spans="1:34">
      <c r="A148" s="250"/>
      <c r="B148" s="250"/>
      <c r="C148" s="250"/>
      <c r="D148" s="250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V148" s="250"/>
      <c r="W148" s="250"/>
      <c r="X148" s="250"/>
      <c r="Y148" s="250"/>
      <c r="Z148" s="250"/>
      <c r="AA148" s="250"/>
      <c r="AB148" s="250"/>
      <c r="AC148" s="250"/>
      <c r="AD148" s="250"/>
      <c r="AE148" s="250"/>
      <c r="AF148" s="250"/>
      <c r="AG148" s="250"/>
      <c r="AH148" s="250"/>
    </row>
    <row r="149" spans="1:34">
      <c r="A149" s="250"/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V149" s="250"/>
      <c r="W149" s="250"/>
      <c r="X149" s="250"/>
      <c r="Y149" s="250"/>
      <c r="Z149" s="250"/>
      <c r="AA149" s="250"/>
      <c r="AB149" s="250"/>
      <c r="AC149" s="250"/>
      <c r="AD149" s="250"/>
      <c r="AE149" s="250"/>
      <c r="AF149" s="250"/>
      <c r="AG149" s="250"/>
      <c r="AH149" s="250"/>
    </row>
    <row r="150" spans="1:34">
      <c r="A150" s="250"/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V150" s="250"/>
      <c r="W150" s="250"/>
      <c r="X150" s="250"/>
      <c r="Y150" s="250"/>
      <c r="Z150" s="250"/>
      <c r="AA150" s="250"/>
      <c r="AB150" s="250"/>
      <c r="AC150" s="250"/>
      <c r="AD150" s="250"/>
      <c r="AE150" s="250"/>
      <c r="AF150" s="250"/>
      <c r="AG150" s="250"/>
      <c r="AH150" s="250"/>
    </row>
    <row r="151" spans="1:34">
      <c r="A151" s="250"/>
      <c r="B151" s="250"/>
      <c r="C151" s="250"/>
      <c r="D151" s="250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R151" s="250"/>
      <c r="S151" s="250"/>
      <c r="T151" s="250"/>
      <c r="V151" s="250"/>
      <c r="W151" s="250"/>
      <c r="X151" s="250"/>
      <c r="Y151" s="250"/>
      <c r="Z151" s="250"/>
      <c r="AA151" s="250"/>
      <c r="AB151" s="250"/>
      <c r="AC151" s="250"/>
      <c r="AD151" s="250"/>
      <c r="AE151" s="250"/>
      <c r="AF151" s="250"/>
      <c r="AG151" s="250"/>
      <c r="AH151" s="250"/>
    </row>
    <row r="152" spans="1:34">
      <c r="A152" s="250"/>
      <c r="B152" s="250"/>
      <c r="C152" s="250"/>
      <c r="D152" s="250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R152" s="250"/>
      <c r="S152" s="250"/>
      <c r="T152" s="250"/>
      <c r="V152" s="250"/>
      <c r="W152" s="250"/>
      <c r="X152" s="250"/>
      <c r="Y152" s="250"/>
      <c r="Z152" s="250"/>
      <c r="AA152" s="250"/>
      <c r="AB152" s="250"/>
      <c r="AC152" s="250"/>
      <c r="AD152" s="250"/>
      <c r="AE152" s="250"/>
      <c r="AF152" s="250"/>
      <c r="AG152" s="250"/>
      <c r="AH152" s="250"/>
    </row>
    <row r="153" spans="1:34">
      <c r="A153" s="250"/>
      <c r="B153" s="250"/>
      <c r="C153" s="25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V153" s="250"/>
      <c r="W153" s="250"/>
      <c r="X153" s="250"/>
      <c r="Y153" s="250"/>
      <c r="Z153" s="250"/>
      <c r="AA153" s="250"/>
      <c r="AB153" s="250"/>
      <c r="AC153" s="250"/>
      <c r="AD153" s="250"/>
      <c r="AE153" s="250"/>
      <c r="AF153" s="250"/>
      <c r="AG153" s="250"/>
      <c r="AH153" s="250"/>
    </row>
    <row r="154" spans="1:34">
      <c r="A154" s="250"/>
      <c r="B154" s="250"/>
      <c r="C154" s="25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R154" s="250"/>
      <c r="S154" s="250"/>
      <c r="T154" s="250"/>
      <c r="V154" s="250"/>
      <c r="W154" s="250"/>
      <c r="X154" s="250"/>
      <c r="Y154" s="250"/>
      <c r="Z154" s="250"/>
      <c r="AA154" s="250"/>
      <c r="AB154" s="250"/>
      <c r="AC154" s="250"/>
      <c r="AD154" s="250"/>
      <c r="AE154" s="250"/>
      <c r="AF154" s="250"/>
      <c r="AG154" s="250"/>
      <c r="AH154" s="250"/>
    </row>
    <row r="155" spans="1:34">
      <c r="A155" s="250"/>
      <c r="B155" s="250"/>
      <c r="C155" s="25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V155" s="250"/>
      <c r="W155" s="250"/>
      <c r="X155" s="250"/>
      <c r="Y155" s="250"/>
      <c r="Z155" s="250"/>
      <c r="AA155" s="250"/>
      <c r="AB155" s="250"/>
      <c r="AC155" s="250"/>
      <c r="AD155" s="250"/>
      <c r="AE155" s="250"/>
      <c r="AF155" s="250"/>
      <c r="AG155" s="250"/>
      <c r="AH155" s="250"/>
    </row>
    <row r="156" spans="1:34">
      <c r="A156" s="250"/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V156" s="250"/>
      <c r="W156" s="250"/>
      <c r="X156" s="250"/>
      <c r="Y156" s="250"/>
      <c r="Z156" s="250"/>
      <c r="AA156" s="250"/>
      <c r="AB156" s="250"/>
      <c r="AC156" s="250"/>
      <c r="AD156" s="250"/>
      <c r="AE156" s="250"/>
      <c r="AF156" s="250"/>
      <c r="AG156" s="250"/>
      <c r="AH156" s="250"/>
    </row>
    <row r="157" spans="1:34">
      <c r="A157" s="250"/>
      <c r="B157" s="250"/>
      <c r="C157" s="25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V157" s="250"/>
      <c r="W157" s="250"/>
      <c r="X157" s="250"/>
      <c r="Y157" s="250"/>
      <c r="Z157" s="250"/>
      <c r="AA157" s="250"/>
      <c r="AB157" s="250"/>
      <c r="AC157" s="250"/>
      <c r="AD157" s="250"/>
      <c r="AE157" s="250"/>
      <c r="AF157" s="250"/>
      <c r="AG157" s="250"/>
      <c r="AH157" s="250"/>
    </row>
    <row r="158" spans="1:34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V158" s="250"/>
      <c r="W158" s="250"/>
      <c r="X158" s="250"/>
      <c r="Y158" s="250"/>
      <c r="Z158" s="250"/>
      <c r="AA158" s="250"/>
      <c r="AB158" s="250"/>
      <c r="AC158" s="250"/>
      <c r="AD158" s="250"/>
      <c r="AE158" s="250"/>
      <c r="AF158" s="250"/>
      <c r="AG158" s="250"/>
      <c r="AH158" s="250"/>
    </row>
    <row r="159" spans="1:34">
      <c r="A159" s="250"/>
      <c r="B159" s="250"/>
      <c r="C159" s="250"/>
      <c r="D159" s="250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V159" s="250"/>
      <c r="W159" s="250"/>
      <c r="X159" s="250"/>
      <c r="Y159" s="250"/>
      <c r="Z159" s="250"/>
      <c r="AA159" s="250"/>
      <c r="AB159" s="250"/>
      <c r="AC159" s="250"/>
      <c r="AD159" s="250"/>
      <c r="AE159" s="250"/>
      <c r="AF159" s="250"/>
      <c r="AG159" s="250"/>
      <c r="AH159" s="250"/>
    </row>
    <row r="160" spans="1:34">
      <c r="A160" s="250"/>
      <c r="B160" s="250"/>
      <c r="C160" s="250"/>
      <c r="D160" s="250"/>
      <c r="E160" s="250"/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V160" s="250"/>
      <c r="W160" s="250"/>
      <c r="X160" s="250"/>
      <c r="Y160" s="250"/>
      <c r="Z160" s="250"/>
      <c r="AA160" s="250"/>
      <c r="AB160" s="250"/>
      <c r="AC160" s="250"/>
      <c r="AD160" s="250"/>
      <c r="AE160" s="250"/>
      <c r="AF160" s="250"/>
      <c r="AG160" s="250"/>
      <c r="AH160" s="250"/>
    </row>
    <row r="161" spans="1:34">
      <c r="A161" s="250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V161" s="250"/>
      <c r="W161" s="250"/>
      <c r="X161" s="250"/>
      <c r="Y161" s="250"/>
      <c r="Z161" s="250"/>
      <c r="AA161" s="250"/>
      <c r="AB161" s="250"/>
      <c r="AC161" s="250"/>
      <c r="AD161" s="250"/>
      <c r="AE161" s="250"/>
      <c r="AF161" s="250"/>
      <c r="AG161" s="250"/>
      <c r="AH161" s="250"/>
    </row>
    <row r="162" spans="1:34">
      <c r="A162" s="250"/>
      <c r="B162" s="250"/>
      <c r="C162" s="250"/>
      <c r="D162" s="250"/>
      <c r="E162" s="250"/>
      <c r="F162" s="250"/>
      <c r="G162" s="250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V162" s="250"/>
      <c r="W162" s="250"/>
      <c r="X162" s="250"/>
      <c r="Y162" s="250"/>
      <c r="Z162" s="250"/>
      <c r="AA162" s="250"/>
      <c r="AB162" s="250"/>
      <c r="AC162" s="250"/>
      <c r="AD162" s="250"/>
      <c r="AE162" s="250"/>
      <c r="AF162" s="250"/>
      <c r="AG162" s="250"/>
      <c r="AH162" s="250"/>
    </row>
    <row r="163" spans="1:34">
      <c r="A163" s="250"/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V163" s="250"/>
      <c r="W163" s="250"/>
      <c r="X163" s="250"/>
      <c r="Y163" s="250"/>
      <c r="Z163" s="250"/>
      <c r="AA163" s="250"/>
      <c r="AB163" s="250"/>
      <c r="AC163" s="250"/>
      <c r="AD163" s="250"/>
      <c r="AE163" s="250"/>
      <c r="AF163" s="250"/>
      <c r="AG163" s="250"/>
      <c r="AH163" s="250"/>
    </row>
    <row r="164" spans="1:34">
      <c r="A164" s="250"/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V164" s="250"/>
      <c r="W164" s="250"/>
      <c r="X164" s="250"/>
      <c r="Y164" s="250"/>
      <c r="Z164" s="250"/>
      <c r="AA164" s="250"/>
      <c r="AB164" s="250"/>
      <c r="AC164" s="250"/>
      <c r="AD164" s="250"/>
      <c r="AE164" s="250"/>
      <c r="AF164" s="250"/>
      <c r="AG164" s="250"/>
      <c r="AH164" s="250"/>
    </row>
    <row r="165" spans="1:34">
      <c r="A165" s="250"/>
      <c r="B165" s="250"/>
      <c r="C165" s="250"/>
      <c r="D165" s="250"/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V165" s="250"/>
      <c r="W165" s="250"/>
      <c r="X165" s="250"/>
      <c r="Y165" s="250"/>
      <c r="Z165" s="250"/>
      <c r="AA165" s="250"/>
      <c r="AB165" s="250"/>
      <c r="AC165" s="250"/>
      <c r="AD165" s="250"/>
      <c r="AE165" s="250"/>
      <c r="AF165" s="250"/>
      <c r="AG165" s="250"/>
      <c r="AH165" s="250"/>
    </row>
    <row r="166" spans="1:34">
      <c r="A166" s="250"/>
      <c r="B166" s="250"/>
      <c r="C166" s="250"/>
      <c r="D166" s="250"/>
      <c r="E166" s="250"/>
      <c r="F166" s="250"/>
      <c r="G166" s="250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250"/>
      <c r="V166" s="250"/>
      <c r="W166" s="250"/>
      <c r="X166" s="250"/>
      <c r="Y166" s="250"/>
      <c r="Z166" s="250"/>
      <c r="AA166" s="250"/>
      <c r="AB166" s="250"/>
      <c r="AC166" s="250"/>
      <c r="AD166" s="250"/>
      <c r="AE166" s="250"/>
      <c r="AF166" s="250"/>
      <c r="AG166" s="250"/>
      <c r="AH166" s="250"/>
    </row>
    <row r="167" spans="1:34">
      <c r="A167" s="250"/>
      <c r="B167" s="250"/>
      <c r="C167" s="250"/>
      <c r="D167" s="250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250"/>
      <c r="T167" s="250"/>
      <c r="V167" s="250"/>
      <c r="W167" s="250"/>
      <c r="X167" s="250"/>
      <c r="Y167" s="250"/>
      <c r="Z167" s="250"/>
      <c r="AA167" s="250"/>
      <c r="AB167" s="250"/>
      <c r="AC167" s="250"/>
      <c r="AD167" s="250"/>
      <c r="AE167" s="250"/>
      <c r="AF167" s="250"/>
      <c r="AG167" s="250"/>
      <c r="AH167" s="250"/>
    </row>
    <row r="168" spans="1:34">
      <c r="A168" s="250"/>
      <c r="B168" s="250"/>
      <c r="C168" s="250"/>
      <c r="D168" s="250"/>
      <c r="E168" s="250"/>
      <c r="F168" s="250"/>
      <c r="G168" s="250"/>
      <c r="H168" s="250"/>
      <c r="I168" s="250"/>
      <c r="J168" s="250"/>
      <c r="K168" s="250"/>
      <c r="L168" s="250"/>
      <c r="M168" s="250"/>
      <c r="N168" s="250"/>
      <c r="O168" s="250"/>
      <c r="P168" s="250"/>
      <c r="Q168" s="250"/>
      <c r="R168" s="250"/>
      <c r="S168" s="250"/>
      <c r="T168" s="250"/>
      <c r="V168" s="250"/>
      <c r="W168" s="250"/>
      <c r="X168" s="250"/>
      <c r="Y168" s="250"/>
      <c r="Z168" s="250"/>
      <c r="AA168" s="250"/>
      <c r="AB168" s="250"/>
      <c r="AC168" s="250"/>
      <c r="AD168" s="250"/>
      <c r="AE168" s="250"/>
      <c r="AF168" s="250"/>
      <c r="AG168" s="250"/>
      <c r="AH168" s="250"/>
    </row>
    <row r="169" spans="1:34">
      <c r="A169" s="250"/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V169" s="250"/>
      <c r="W169" s="250"/>
      <c r="X169" s="250"/>
      <c r="Y169" s="250"/>
      <c r="Z169" s="250"/>
      <c r="AA169" s="250"/>
      <c r="AB169" s="250"/>
      <c r="AC169" s="250"/>
      <c r="AD169" s="250"/>
      <c r="AE169" s="250"/>
      <c r="AF169" s="250"/>
      <c r="AG169" s="250"/>
      <c r="AH169" s="250"/>
    </row>
    <row r="170" spans="1:34">
      <c r="A170" s="250"/>
      <c r="B170" s="250"/>
      <c r="C170" s="250"/>
      <c r="D170" s="250"/>
      <c r="E170" s="250"/>
      <c r="F170" s="250"/>
      <c r="G170" s="250"/>
      <c r="H170" s="250"/>
      <c r="I170" s="250"/>
      <c r="J170" s="250"/>
      <c r="K170" s="250"/>
      <c r="L170" s="250"/>
      <c r="M170" s="250"/>
      <c r="N170" s="250"/>
      <c r="O170" s="250"/>
      <c r="P170" s="250"/>
      <c r="Q170" s="250"/>
      <c r="R170" s="250"/>
      <c r="S170" s="250"/>
      <c r="T170" s="250"/>
      <c r="V170" s="250"/>
      <c r="W170" s="250"/>
      <c r="X170" s="250"/>
      <c r="Y170" s="250"/>
      <c r="Z170" s="250"/>
      <c r="AA170" s="250"/>
      <c r="AB170" s="250"/>
      <c r="AC170" s="250"/>
      <c r="AD170" s="250"/>
      <c r="AE170" s="250"/>
      <c r="AF170" s="250"/>
      <c r="AG170" s="250"/>
      <c r="AH170" s="250"/>
    </row>
    <row r="171" spans="1:34">
      <c r="A171" s="250"/>
      <c r="B171" s="250"/>
      <c r="C171" s="250"/>
      <c r="D171" s="250"/>
      <c r="E171" s="250"/>
      <c r="F171" s="250"/>
      <c r="G171" s="250"/>
      <c r="H171" s="250"/>
      <c r="I171" s="250"/>
      <c r="J171" s="250"/>
      <c r="K171" s="250"/>
      <c r="L171" s="250"/>
      <c r="M171" s="250"/>
      <c r="N171" s="250"/>
      <c r="O171" s="250"/>
      <c r="P171" s="250"/>
      <c r="Q171" s="250"/>
      <c r="R171" s="250"/>
      <c r="S171" s="250"/>
      <c r="T171" s="250"/>
      <c r="V171" s="250"/>
      <c r="W171" s="250"/>
      <c r="X171" s="250"/>
      <c r="Y171" s="250"/>
      <c r="Z171" s="250"/>
      <c r="AA171" s="250"/>
      <c r="AB171" s="250"/>
      <c r="AC171" s="250"/>
      <c r="AD171" s="250"/>
      <c r="AE171" s="250"/>
      <c r="AF171" s="250"/>
      <c r="AG171" s="250"/>
      <c r="AH171" s="250"/>
    </row>
    <row r="172" spans="1:34">
      <c r="A172" s="250"/>
      <c r="B172" s="250"/>
      <c r="C172" s="250"/>
      <c r="D172" s="250"/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  <c r="R172" s="250"/>
      <c r="S172" s="250"/>
      <c r="T172" s="250"/>
      <c r="V172" s="250"/>
      <c r="W172" s="250"/>
      <c r="X172" s="250"/>
      <c r="Y172" s="250"/>
      <c r="Z172" s="250"/>
      <c r="AA172" s="250"/>
      <c r="AB172" s="250"/>
      <c r="AC172" s="250"/>
      <c r="AD172" s="250"/>
      <c r="AE172" s="250"/>
      <c r="AF172" s="250"/>
      <c r="AG172" s="250"/>
      <c r="AH172" s="250"/>
    </row>
    <row r="173" spans="1:34">
      <c r="A173" s="250"/>
      <c r="B173" s="250"/>
      <c r="C173" s="250"/>
      <c r="D173" s="250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0"/>
      <c r="S173" s="250"/>
      <c r="T173" s="250"/>
      <c r="V173" s="250"/>
      <c r="W173" s="250"/>
      <c r="X173" s="250"/>
      <c r="Y173" s="250"/>
      <c r="Z173" s="250"/>
      <c r="AA173" s="250"/>
      <c r="AB173" s="250"/>
      <c r="AC173" s="250"/>
      <c r="AD173" s="250"/>
      <c r="AE173" s="250"/>
      <c r="AF173" s="250"/>
      <c r="AG173" s="250"/>
      <c r="AH173" s="250"/>
    </row>
    <row r="174" spans="1:34">
      <c r="A174" s="250"/>
      <c r="B174" s="250"/>
      <c r="C174" s="250"/>
      <c r="D174" s="250"/>
      <c r="E174" s="250"/>
      <c r="F174" s="250"/>
      <c r="G174" s="250"/>
      <c r="H174" s="250"/>
      <c r="I174" s="250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V174" s="250"/>
      <c r="W174" s="250"/>
      <c r="X174" s="250"/>
      <c r="Y174" s="250"/>
      <c r="Z174" s="250"/>
      <c r="AA174" s="250"/>
      <c r="AB174" s="250"/>
      <c r="AC174" s="250"/>
      <c r="AD174" s="250"/>
      <c r="AE174" s="250"/>
      <c r="AF174" s="250"/>
      <c r="AG174" s="250"/>
      <c r="AH174" s="250"/>
    </row>
    <row r="175" spans="1:34">
      <c r="A175" s="250"/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  <c r="AH175" s="250"/>
    </row>
    <row r="176" spans="1:34">
      <c r="A176" s="250"/>
      <c r="B176" s="250"/>
      <c r="C176" s="250"/>
      <c r="D176" s="250"/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  <c r="AH176" s="250"/>
    </row>
    <row r="177" spans="1:34">
      <c r="A177" s="250"/>
      <c r="B177" s="250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0"/>
      <c r="S177" s="250"/>
      <c r="T177" s="250"/>
      <c r="V177" s="250"/>
      <c r="W177" s="250"/>
      <c r="X177" s="250"/>
      <c r="Y177" s="250"/>
      <c r="Z177" s="250"/>
      <c r="AA177" s="250"/>
      <c r="AB177" s="250"/>
      <c r="AC177" s="250"/>
      <c r="AD177" s="250"/>
      <c r="AE177" s="250"/>
      <c r="AF177" s="250"/>
      <c r="AG177" s="250"/>
      <c r="AH177" s="250"/>
    </row>
    <row r="178" spans="1:34">
      <c r="A178" s="250"/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V178" s="250"/>
      <c r="W178" s="250"/>
      <c r="X178" s="250"/>
      <c r="Y178" s="250"/>
      <c r="Z178" s="250"/>
      <c r="AA178" s="250"/>
      <c r="AB178" s="250"/>
      <c r="AC178" s="250"/>
      <c r="AD178" s="250"/>
      <c r="AE178" s="250"/>
      <c r="AF178" s="250"/>
      <c r="AG178" s="250"/>
      <c r="AH178" s="250"/>
    </row>
    <row r="179" spans="1:34">
      <c r="A179" s="250"/>
      <c r="B179" s="250"/>
      <c r="C179" s="250"/>
      <c r="D179" s="250"/>
      <c r="E179" s="250"/>
      <c r="F179" s="250"/>
      <c r="G179" s="250"/>
      <c r="H179" s="250"/>
      <c r="I179" s="250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V179" s="250"/>
      <c r="W179" s="250"/>
      <c r="X179" s="250"/>
      <c r="Y179" s="250"/>
      <c r="Z179" s="250"/>
      <c r="AA179" s="250"/>
      <c r="AB179" s="250"/>
      <c r="AC179" s="250"/>
      <c r="AD179" s="250"/>
      <c r="AE179" s="250"/>
      <c r="AF179" s="250"/>
      <c r="AG179" s="250"/>
      <c r="AH179" s="250"/>
    </row>
    <row r="180" spans="1:34">
      <c r="A180" s="250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V180" s="250"/>
      <c r="W180" s="250"/>
      <c r="X180" s="250"/>
      <c r="Y180" s="250"/>
      <c r="Z180" s="250"/>
      <c r="AA180" s="250"/>
      <c r="AB180" s="250"/>
      <c r="AC180" s="250"/>
      <c r="AD180" s="250"/>
      <c r="AE180" s="250"/>
      <c r="AF180" s="250"/>
      <c r="AG180" s="250"/>
      <c r="AH180" s="250"/>
    </row>
    <row r="181" spans="1:34">
      <c r="A181" s="250"/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V181" s="250"/>
      <c r="W181" s="250"/>
      <c r="X181" s="250"/>
      <c r="Y181" s="250"/>
      <c r="Z181" s="250"/>
      <c r="AA181" s="250"/>
      <c r="AB181" s="250"/>
      <c r="AC181" s="250"/>
      <c r="AD181" s="250"/>
      <c r="AE181" s="250"/>
      <c r="AF181" s="250"/>
      <c r="AG181" s="250"/>
      <c r="AH181" s="250"/>
    </row>
    <row r="182" spans="1:34">
      <c r="A182" s="250"/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V182" s="250"/>
      <c r="W182" s="250"/>
      <c r="X182" s="250"/>
      <c r="Y182" s="250"/>
      <c r="Z182" s="250"/>
      <c r="AA182" s="250"/>
      <c r="AB182" s="250"/>
      <c r="AC182" s="250"/>
      <c r="AD182" s="250"/>
      <c r="AE182" s="250"/>
      <c r="AF182" s="250"/>
      <c r="AG182" s="250"/>
      <c r="AH182" s="250"/>
    </row>
    <row r="183" spans="1:34">
      <c r="A183" s="250"/>
      <c r="B183" s="250"/>
      <c r="C183" s="250"/>
      <c r="D183" s="250"/>
      <c r="E183" s="250"/>
      <c r="F183" s="250"/>
      <c r="G183" s="250"/>
      <c r="H183" s="250"/>
      <c r="I183" s="250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V183" s="250"/>
      <c r="W183" s="250"/>
      <c r="X183" s="250"/>
      <c r="Y183" s="250"/>
      <c r="Z183" s="250"/>
      <c r="AA183" s="250"/>
      <c r="AB183" s="250"/>
      <c r="AC183" s="250"/>
      <c r="AD183" s="250"/>
      <c r="AE183" s="250"/>
      <c r="AF183" s="250"/>
      <c r="AG183" s="250"/>
      <c r="AH183" s="250"/>
    </row>
    <row r="184" spans="1:34">
      <c r="A184" s="250"/>
      <c r="B184" s="250"/>
      <c r="C184" s="250"/>
      <c r="D184" s="250"/>
      <c r="E184" s="250"/>
      <c r="F184" s="250"/>
      <c r="G184" s="250"/>
      <c r="H184" s="250"/>
      <c r="I184" s="250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V184" s="250"/>
      <c r="W184" s="250"/>
      <c r="X184" s="250"/>
      <c r="Y184" s="250"/>
      <c r="Z184" s="250"/>
      <c r="AA184" s="250"/>
      <c r="AB184" s="250"/>
      <c r="AC184" s="250"/>
      <c r="AD184" s="250"/>
      <c r="AE184" s="250"/>
      <c r="AF184" s="250"/>
      <c r="AG184" s="250"/>
      <c r="AH184" s="250"/>
    </row>
    <row r="185" spans="1:34">
      <c r="A185" s="250"/>
      <c r="B185" s="250"/>
      <c r="C185" s="250"/>
      <c r="D185" s="250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V185" s="250"/>
      <c r="W185" s="250"/>
      <c r="X185" s="250"/>
      <c r="Y185" s="250"/>
      <c r="Z185" s="250"/>
      <c r="AA185" s="250"/>
      <c r="AB185" s="250"/>
      <c r="AC185" s="250"/>
      <c r="AD185" s="250"/>
      <c r="AE185" s="250"/>
      <c r="AF185" s="250"/>
      <c r="AG185" s="250"/>
      <c r="AH185" s="250"/>
    </row>
    <row r="186" spans="1:34">
      <c r="A186" s="250"/>
      <c r="B186" s="250"/>
      <c r="C186" s="250"/>
      <c r="D186" s="250"/>
      <c r="E186" s="250"/>
      <c r="F186" s="250"/>
      <c r="G186" s="250"/>
      <c r="H186" s="250"/>
      <c r="I186" s="250"/>
      <c r="J186" s="250"/>
      <c r="K186" s="250"/>
      <c r="L186" s="250"/>
      <c r="M186" s="250"/>
      <c r="N186" s="250"/>
      <c r="O186" s="250"/>
      <c r="P186" s="250"/>
      <c r="Q186" s="250"/>
      <c r="R186" s="250"/>
      <c r="S186" s="250"/>
      <c r="T186" s="250"/>
      <c r="V186" s="250"/>
      <c r="W186" s="250"/>
      <c r="X186" s="250"/>
      <c r="Y186" s="250"/>
      <c r="Z186" s="250"/>
      <c r="AA186" s="250"/>
      <c r="AB186" s="250"/>
      <c r="AC186" s="250"/>
      <c r="AD186" s="250"/>
      <c r="AE186" s="250"/>
      <c r="AF186" s="250"/>
      <c r="AG186" s="250"/>
      <c r="AH186" s="250"/>
    </row>
    <row r="187" spans="1:34">
      <c r="A187" s="25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V187" s="250"/>
      <c r="W187" s="250"/>
      <c r="X187" s="250"/>
      <c r="Y187" s="250"/>
      <c r="Z187" s="250"/>
      <c r="AA187" s="250"/>
      <c r="AB187" s="250"/>
      <c r="AC187" s="250"/>
      <c r="AD187" s="250"/>
      <c r="AE187" s="250"/>
      <c r="AF187" s="250"/>
      <c r="AG187" s="250"/>
      <c r="AH187" s="250"/>
    </row>
    <row r="188" spans="1:34">
      <c r="A188" s="250"/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V188" s="250"/>
      <c r="W188" s="250"/>
      <c r="X188" s="250"/>
      <c r="Y188" s="250"/>
      <c r="Z188" s="250"/>
      <c r="AA188" s="250"/>
      <c r="AB188" s="250"/>
      <c r="AC188" s="250"/>
      <c r="AD188" s="250"/>
      <c r="AE188" s="250"/>
      <c r="AF188" s="250"/>
      <c r="AG188" s="250"/>
      <c r="AH188" s="250"/>
    </row>
    <row r="189" spans="1:34">
      <c r="A189" s="250"/>
      <c r="B189" s="250"/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0"/>
      <c r="S189" s="250"/>
      <c r="T189" s="250"/>
      <c r="V189" s="250"/>
      <c r="W189" s="250"/>
      <c r="X189" s="250"/>
      <c r="Y189" s="250"/>
      <c r="Z189" s="250"/>
      <c r="AA189" s="250"/>
      <c r="AB189" s="250"/>
      <c r="AC189" s="250"/>
      <c r="AD189" s="250"/>
      <c r="AE189" s="250"/>
      <c r="AF189" s="250"/>
      <c r="AG189" s="250"/>
      <c r="AH189" s="250"/>
    </row>
    <row r="190" spans="1:34">
      <c r="A190" s="250"/>
      <c r="B190" s="250"/>
      <c r="C190" s="250"/>
      <c r="D190" s="250"/>
      <c r="E190" s="250"/>
      <c r="F190" s="250"/>
      <c r="G190" s="250"/>
      <c r="H190" s="250"/>
      <c r="I190" s="250"/>
      <c r="J190" s="250"/>
      <c r="K190" s="250"/>
      <c r="L190" s="250"/>
      <c r="M190" s="250"/>
      <c r="N190" s="250"/>
      <c r="O190" s="250"/>
      <c r="P190" s="250"/>
      <c r="Q190" s="250"/>
      <c r="R190" s="250"/>
      <c r="S190" s="250"/>
      <c r="T190" s="250"/>
      <c r="V190" s="250"/>
      <c r="W190" s="250"/>
      <c r="X190" s="250"/>
      <c r="Y190" s="250"/>
      <c r="Z190" s="250"/>
      <c r="AA190" s="250"/>
      <c r="AB190" s="250"/>
      <c r="AC190" s="250"/>
      <c r="AD190" s="250"/>
      <c r="AE190" s="250"/>
      <c r="AF190" s="250"/>
      <c r="AG190" s="250"/>
      <c r="AH190" s="250"/>
    </row>
    <row r="191" spans="1:34">
      <c r="A191" s="250"/>
      <c r="B191" s="250"/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0"/>
      <c r="S191" s="250"/>
      <c r="T191" s="250"/>
      <c r="V191" s="250"/>
      <c r="W191" s="250"/>
      <c r="X191" s="250"/>
      <c r="Y191" s="250"/>
      <c r="Z191" s="250"/>
      <c r="AA191" s="250"/>
      <c r="AB191" s="250"/>
      <c r="AC191" s="250"/>
      <c r="AD191" s="250"/>
      <c r="AE191" s="250"/>
      <c r="AF191" s="250"/>
      <c r="AG191" s="250"/>
      <c r="AH191" s="250"/>
    </row>
    <row r="192" spans="1:34">
      <c r="A192" s="250"/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V192" s="250"/>
      <c r="W192" s="250"/>
      <c r="X192" s="250"/>
      <c r="Y192" s="250"/>
      <c r="Z192" s="250"/>
      <c r="AA192" s="250"/>
      <c r="AB192" s="250"/>
      <c r="AC192" s="250"/>
      <c r="AD192" s="250"/>
      <c r="AE192" s="250"/>
      <c r="AF192" s="250"/>
      <c r="AG192" s="250"/>
      <c r="AH192" s="250"/>
    </row>
    <row r="193" spans="1:34">
      <c r="A193" s="250"/>
      <c r="B193" s="250"/>
      <c r="C193" s="250"/>
      <c r="D193" s="250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V193" s="250"/>
      <c r="W193" s="250"/>
      <c r="X193" s="250"/>
      <c r="Y193" s="250"/>
      <c r="Z193" s="250"/>
      <c r="AA193" s="250"/>
      <c r="AB193" s="250"/>
      <c r="AC193" s="250"/>
      <c r="AD193" s="250"/>
      <c r="AE193" s="250"/>
      <c r="AF193" s="250"/>
      <c r="AG193" s="250"/>
      <c r="AH193" s="250"/>
    </row>
    <row r="194" spans="1:34">
      <c r="A194" s="250"/>
      <c r="B194" s="250"/>
      <c r="C194" s="250"/>
      <c r="D194" s="250"/>
      <c r="E194" s="250"/>
      <c r="F194" s="250"/>
      <c r="G194" s="250"/>
      <c r="H194" s="250"/>
      <c r="I194" s="250"/>
      <c r="J194" s="250"/>
      <c r="K194" s="250"/>
      <c r="L194" s="250"/>
      <c r="M194" s="250"/>
      <c r="N194" s="250"/>
      <c r="O194" s="250"/>
      <c r="P194" s="250"/>
      <c r="Q194" s="250"/>
      <c r="R194" s="250"/>
      <c r="S194" s="250"/>
      <c r="T194" s="250"/>
      <c r="V194" s="250"/>
      <c r="W194" s="250"/>
      <c r="X194" s="250"/>
      <c r="Y194" s="250"/>
      <c r="Z194" s="250"/>
      <c r="AA194" s="250"/>
      <c r="AB194" s="250"/>
      <c r="AC194" s="250"/>
      <c r="AD194" s="250"/>
      <c r="AE194" s="250"/>
      <c r="AF194" s="250"/>
      <c r="AG194" s="250"/>
      <c r="AH194" s="250"/>
    </row>
    <row r="195" spans="1:34">
      <c r="A195" s="250"/>
      <c r="B195" s="250"/>
      <c r="C195" s="250"/>
      <c r="D195" s="250"/>
      <c r="E195" s="250"/>
      <c r="F195" s="250"/>
      <c r="G195" s="250"/>
      <c r="H195" s="250"/>
      <c r="I195" s="250"/>
      <c r="J195" s="250"/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V195" s="250"/>
      <c r="W195" s="250"/>
      <c r="X195" s="250"/>
      <c r="Y195" s="250"/>
      <c r="Z195" s="250"/>
      <c r="AA195" s="250"/>
      <c r="AB195" s="250"/>
      <c r="AC195" s="250"/>
      <c r="AD195" s="250"/>
      <c r="AE195" s="250"/>
      <c r="AF195" s="250"/>
      <c r="AG195" s="250"/>
      <c r="AH195" s="250"/>
    </row>
    <row r="196" spans="1:34">
      <c r="A196" s="250"/>
      <c r="B196" s="250"/>
      <c r="C196" s="250"/>
      <c r="D196" s="250"/>
      <c r="E196" s="250"/>
      <c r="F196" s="250"/>
      <c r="G196" s="250"/>
      <c r="H196" s="250"/>
      <c r="I196" s="250"/>
      <c r="J196" s="250"/>
      <c r="K196" s="250"/>
      <c r="L196" s="250"/>
      <c r="M196" s="250"/>
      <c r="N196" s="250"/>
      <c r="O196" s="250"/>
      <c r="P196" s="250"/>
      <c r="Q196" s="250"/>
      <c r="R196" s="250"/>
      <c r="S196" s="250"/>
      <c r="T196" s="250"/>
      <c r="V196" s="250"/>
      <c r="W196" s="250"/>
      <c r="X196" s="250"/>
      <c r="Y196" s="250"/>
      <c r="Z196" s="250"/>
      <c r="AA196" s="250"/>
      <c r="AB196" s="250"/>
      <c r="AC196" s="250"/>
      <c r="AD196" s="250"/>
      <c r="AE196" s="250"/>
      <c r="AF196" s="250"/>
      <c r="AG196" s="250"/>
      <c r="AH196" s="250"/>
    </row>
    <row r="197" spans="1:34">
      <c r="A197" s="250"/>
      <c r="B197" s="250"/>
      <c r="C197" s="250"/>
      <c r="D197" s="250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V197" s="250"/>
      <c r="W197" s="250"/>
      <c r="X197" s="250"/>
      <c r="Y197" s="250"/>
      <c r="Z197" s="250"/>
      <c r="AA197" s="250"/>
      <c r="AB197" s="250"/>
      <c r="AC197" s="250"/>
      <c r="AD197" s="250"/>
      <c r="AE197" s="250"/>
      <c r="AF197" s="250"/>
      <c r="AG197" s="250"/>
      <c r="AH197" s="250"/>
    </row>
    <row r="198" spans="1:34">
      <c r="A198" s="250"/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250"/>
      <c r="AG198" s="250"/>
      <c r="AH198" s="250"/>
    </row>
    <row r="199" spans="1:34">
      <c r="A199" s="250"/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0"/>
      <c r="S199" s="250"/>
      <c r="T199" s="250"/>
      <c r="V199" s="250"/>
      <c r="W199" s="250"/>
      <c r="X199" s="250"/>
      <c r="Y199" s="250"/>
      <c r="Z199" s="250"/>
      <c r="AA199" s="250"/>
      <c r="AB199" s="250"/>
      <c r="AC199" s="250"/>
      <c r="AD199" s="250"/>
      <c r="AE199" s="250"/>
      <c r="AF199" s="250"/>
      <c r="AG199" s="250"/>
      <c r="AH199" s="250"/>
    </row>
    <row r="200" spans="1:34">
      <c r="A200" s="250"/>
      <c r="B200" s="250"/>
      <c r="C200" s="250"/>
      <c r="D200" s="250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  <c r="R200" s="250"/>
      <c r="S200" s="250"/>
      <c r="T200" s="250"/>
      <c r="V200" s="250"/>
      <c r="W200" s="250"/>
      <c r="X200" s="250"/>
      <c r="Y200" s="250"/>
      <c r="Z200" s="250"/>
      <c r="AA200" s="250"/>
      <c r="AB200" s="250"/>
      <c r="AC200" s="250"/>
      <c r="AD200" s="250"/>
      <c r="AE200" s="250"/>
      <c r="AF200" s="250"/>
      <c r="AG200" s="250"/>
      <c r="AH200" s="250"/>
    </row>
    <row r="201" spans="1:34">
      <c r="A201" s="250"/>
      <c r="B201" s="250"/>
      <c r="C201" s="250"/>
      <c r="D201" s="250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0"/>
      <c r="S201" s="250"/>
      <c r="T201" s="250"/>
      <c r="V201" s="250"/>
      <c r="W201" s="250"/>
      <c r="X201" s="250"/>
      <c r="Y201" s="250"/>
      <c r="Z201" s="250"/>
      <c r="AA201" s="250"/>
      <c r="AB201" s="250"/>
      <c r="AC201" s="250"/>
      <c r="AD201" s="250"/>
      <c r="AE201" s="250"/>
      <c r="AF201" s="250"/>
      <c r="AG201" s="250"/>
      <c r="AH201" s="250"/>
    </row>
    <row r="202" spans="1:34">
      <c r="A202" s="250"/>
      <c r="B202" s="250"/>
      <c r="C202" s="250"/>
      <c r="D202" s="250"/>
      <c r="E202" s="250"/>
      <c r="F202" s="250"/>
      <c r="G202" s="250"/>
      <c r="H202" s="250"/>
      <c r="I202" s="250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V202" s="250"/>
      <c r="W202" s="250"/>
      <c r="X202" s="250"/>
      <c r="Y202" s="250"/>
      <c r="Z202" s="250"/>
      <c r="AA202" s="250"/>
      <c r="AB202" s="250"/>
      <c r="AC202" s="250"/>
      <c r="AD202" s="250"/>
      <c r="AE202" s="250"/>
      <c r="AF202" s="250"/>
      <c r="AG202" s="250"/>
      <c r="AH202" s="250"/>
    </row>
    <row r="203" spans="1:34">
      <c r="A203" s="250"/>
      <c r="B203" s="250"/>
      <c r="C203" s="250"/>
      <c r="D203" s="250"/>
      <c r="E203" s="250"/>
      <c r="F203" s="250"/>
      <c r="G203" s="250"/>
      <c r="H203" s="250"/>
      <c r="I203" s="250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50"/>
      <c r="AH203" s="250"/>
    </row>
    <row r="204" spans="1:34">
      <c r="A204" s="250"/>
      <c r="B204" s="250"/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V204" s="250"/>
      <c r="W204" s="250"/>
      <c r="X204" s="250"/>
      <c r="Y204" s="250"/>
      <c r="Z204" s="250"/>
      <c r="AA204" s="250"/>
      <c r="AB204" s="250"/>
      <c r="AC204" s="250"/>
      <c r="AD204" s="250"/>
      <c r="AE204" s="250"/>
      <c r="AF204" s="250"/>
      <c r="AG204" s="250"/>
      <c r="AH204" s="250"/>
    </row>
    <row r="205" spans="1:34">
      <c r="A205" s="250"/>
      <c r="B205" s="250"/>
      <c r="C205" s="250"/>
      <c r="D205" s="250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V205" s="250"/>
      <c r="W205" s="250"/>
      <c r="X205" s="250"/>
      <c r="Y205" s="250"/>
      <c r="Z205" s="250"/>
      <c r="AA205" s="250"/>
      <c r="AB205" s="250"/>
      <c r="AC205" s="250"/>
      <c r="AD205" s="250"/>
      <c r="AE205" s="250"/>
      <c r="AF205" s="250"/>
      <c r="AG205" s="250"/>
      <c r="AH205" s="250"/>
    </row>
    <row r="206" spans="1:34">
      <c r="A206" s="250"/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V206" s="250"/>
      <c r="W206" s="250"/>
      <c r="X206" s="250"/>
      <c r="Y206" s="250"/>
      <c r="Z206" s="250"/>
      <c r="AA206" s="250"/>
      <c r="AB206" s="250"/>
      <c r="AC206" s="250"/>
      <c r="AD206" s="250"/>
      <c r="AE206" s="250"/>
      <c r="AF206" s="250"/>
      <c r="AG206" s="250"/>
      <c r="AH206" s="250"/>
    </row>
    <row r="207" spans="1:34">
      <c r="A207" s="250"/>
      <c r="B207" s="250"/>
      <c r="C207" s="250"/>
      <c r="D207" s="250"/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V207" s="250"/>
      <c r="W207" s="250"/>
      <c r="X207" s="250"/>
      <c r="Y207" s="250"/>
      <c r="Z207" s="250"/>
      <c r="AA207" s="250"/>
      <c r="AB207" s="250"/>
      <c r="AC207" s="250"/>
      <c r="AD207" s="250"/>
      <c r="AE207" s="250"/>
      <c r="AF207" s="250"/>
      <c r="AG207" s="250"/>
      <c r="AH207" s="250"/>
    </row>
    <row r="208" spans="1:34">
      <c r="A208" s="250"/>
      <c r="B208" s="250"/>
      <c r="C208" s="250"/>
      <c r="D208" s="250"/>
      <c r="E208" s="250"/>
      <c r="F208" s="250"/>
      <c r="G208" s="250"/>
      <c r="H208" s="250"/>
      <c r="I208" s="250"/>
      <c r="J208" s="250"/>
      <c r="K208" s="250"/>
      <c r="L208" s="250"/>
      <c r="M208" s="250"/>
      <c r="N208" s="250"/>
      <c r="O208" s="250"/>
      <c r="P208" s="250"/>
      <c r="Q208" s="250"/>
      <c r="R208" s="250"/>
      <c r="S208" s="250"/>
      <c r="T208" s="250"/>
      <c r="V208" s="250"/>
      <c r="W208" s="250"/>
      <c r="X208" s="250"/>
      <c r="Y208" s="250"/>
      <c r="Z208" s="250"/>
      <c r="AA208" s="250"/>
      <c r="AB208" s="250"/>
      <c r="AC208" s="250"/>
      <c r="AD208" s="250"/>
      <c r="AE208" s="250"/>
      <c r="AF208" s="250"/>
      <c r="AG208" s="250"/>
      <c r="AH208" s="250"/>
    </row>
    <row r="209" spans="1:34">
      <c r="A209" s="250"/>
      <c r="B209" s="250"/>
      <c r="C209" s="250"/>
      <c r="D209" s="250"/>
      <c r="E209" s="250"/>
      <c r="F209" s="250"/>
      <c r="G209" s="250"/>
      <c r="H209" s="250"/>
      <c r="I209" s="250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V209" s="250"/>
      <c r="W209" s="250"/>
      <c r="X209" s="250"/>
      <c r="Y209" s="250"/>
      <c r="Z209" s="250"/>
      <c r="AA209" s="250"/>
      <c r="AB209" s="250"/>
      <c r="AC209" s="250"/>
      <c r="AD209" s="250"/>
      <c r="AE209" s="250"/>
      <c r="AF209" s="250"/>
      <c r="AG209" s="250"/>
      <c r="AH209" s="250"/>
    </row>
    <row r="210" spans="1:34">
      <c r="A210" s="250"/>
      <c r="B210" s="250"/>
      <c r="C210" s="250"/>
      <c r="D210" s="250"/>
      <c r="E210" s="250"/>
      <c r="F210" s="250"/>
      <c r="G210" s="250"/>
      <c r="H210" s="250"/>
      <c r="I210" s="250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V210" s="250"/>
      <c r="W210" s="250"/>
      <c r="X210" s="250"/>
      <c r="Y210" s="250"/>
      <c r="Z210" s="250"/>
      <c r="AA210" s="250"/>
      <c r="AB210" s="250"/>
      <c r="AC210" s="250"/>
      <c r="AD210" s="250"/>
      <c r="AE210" s="250"/>
      <c r="AF210" s="250"/>
      <c r="AG210" s="250"/>
      <c r="AH210" s="250"/>
    </row>
    <row r="211" spans="1:34">
      <c r="A211" s="250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V211" s="250"/>
      <c r="W211" s="250"/>
      <c r="X211" s="250"/>
      <c r="Y211" s="250"/>
      <c r="Z211" s="250"/>
      <c r="AA211" s="250"/>
      <c r="AB211" s="250"/>
      <c r="AC211" s="250"/>
      <c r="AD211" s="250"/>
      <c r="AE211" s="250"/>
      <c r="AF211" s="250"/>
      <c r="AG211" s="250"/>
      <c r="AH211" s="250"/>
    </row>
    <row r="212" spans="1:34">
      <c r="A212" s="250"/>
      <c r="B212" s="250"/>
      <c r="C212" s="250"/>
      <c r="D212" s="250"/>
      <c r="E212" s="250"/>
      <c r="F212" s="250"/>
      <c r="G212" s="250"/>
      <c r="H212" s="250"/>
      <c r="I212" s="250"/>
      <c r="J212" s="250"/>
      <c r="K212" s="250"/>
      <c r="L212" s="250"/>
      <c r="M212" s="250"/>
      <c r="N212" s="250"/>
      <c r="O212" s="250"/>
      <c r="P212" s="250"/>
      <c r="Q212" s="250"/>
      <c r="R212" s="250"/>
      <c r="S212" s="250"/>
      <c r="T212" s="250"/>
      <c r="V212" s="250"/>
      <c r="W212" s="250"/>
      <c r="X212" s="250"/>
      <c r="Y212" s="250"/>
      <c r="Z212" s="250"/>
      <c r="AA212" s="250"/>
      <c r="AB212" s="250"/>
      <c r="AC212" s="250"/>
      <c r="AD212" s="250"/>
      <c r="AE212" s="250"/>
      <c r="AF212" s="250"/>
      <c r="AG212" s="250"/>
      <c r="AH212" s="250"/>
    </row>
    <row r="213" spans="1:34">
      <c r="A213" s="250"/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V213" s="250"/>
      <c r="W213" s="250"/>
      <c r="X213" s="250"/>
      <c r="Y213" s="250"/>
      <c r="Z213" s="250"/>
      <c r="AA213" s="250"/>
      <c r="AB213" s="250"/>
      <c r="AC213" s="250"/>
      <c r="AD213" s="250"/>
      <c r="AE213" s="250"/>
      <c r="AF213" s="250"/>
      <c r="AG213" s="250"/>
      <c r="AH213" s="250"/>
    </row>
    <row r="214" spans="1:34">
      <c r="A214" s="250"/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0"/>
      <c r="M214" s="250"/>
      <c r="N214" s="250"/>
      <c r="O214" s="250"/>
      <c r="P214" s="250"/>
      <c r="Q214" s="250"/>
      <c r="R214" s="250"/>
      <c r="S214" s="250"/>
      <c r="T214" s="250"/>
      <c r="V214" s="250"/>
      <c r="W214" s="250"/>
      <c r="X214" s="250"/>
      <c r="Y214" s="250"/>
      <c r="Z214" s="250"/>
      <c r="AA214" s="250"/>
      <c r="AB214" s="250"/>
      <c r="AC214" s="250"/>
      <c r="AD214" s="250"/>
      <c r="AE214" s="250"/>
      <c r="AF214" s="250"/>
      <c r="AG214" s="250"/>
      <c r="AH214" s="250"/>
    </row>
    <row r="215" spans="1:34">
      <c r="A215" s="250"/>
      <c r="B215" s="250"/>
      <c r="C215" s="250"/>
      <c r="D215" s="250"/>
      <c r="E215" s="250"/>
      <c r="F215" s="250"/>
      <c r="G215" s="250"/>
      <c r="H215" s="250"/>
      <c r="I215" s="250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V215" s="250"/>
      <c r="W215" s="250"/>
      <c r="X215" s="250"/>
      <c r="Y215" s="250"/>
      <c r="Z215" s="250"/>
      <c r="AA215" s="250"/>
      <c r="AB215" s="250"/>
      <c r="AC215" s="250"/>
      <c r="AD215" s="250"/>
      <c r="AE215" s="250"/>
      <c r="AF215" s="250"/>
      <c r="AG215" s="250"/>
      <c r="AH215" s="250"/>
    </row>
    <row r="216" spans="1:34">
      <c r="A216" s="250"/>
      <c r="B216" s="250"/>
      <c r="C216" s="250"/>
      <c r="D216" s="250"/>
      <c r="E216" s="250"/>
      <c r="F216" s="250"/>
      <c r="G216" s="250"/>
      <c r="H216" s="250"/>
      <c r="I216" s="250"/>
      <c r="J216" s="250"/>
      <c r="K216" s="250"/>
      <c r="L216" s="250"/>
      <c r="M216" s="250"/>
      <c r="N216" s="250"/>
      <c r="O216" s="250"/>
      <c r="P216" s="250"/>
      <c r="Q216" s="250"/>
      <c r="R216" s="250"/>
      <c r="S216" s="250"/>
      <c r="T216" s="250"/>
      <c r="V216" s="250"/>
      <c r="W216" s="250"/>
      <c r="X216" s="250"/>
      <c r="Y216" s="250"/>
      <c r="Z216" s="250"/>
      <c r="AA216" s="250"/>
      <c r="AB216" s="250"/>
      <c r="AC216" s="250"/>
      <c r="AD216" s="250"/>
      <c r="AE216" s="250"/>
      <c r="AF216" s="250"/>
      <c r="AG216" s="250"/>
      <c r="AH216" s="250"/>
    </row>
    <row r="217" spans="1:34">
      <c r="A217" s="250"/>
      <c r="B217" s="250"/>
      <c r="C217" s="250"/>
      <c r="D217" s="250"/>
      <c r="E217" s="250"/>
      <c r="F217" s="250"/>
      <c r="G217" s="250"/>
      <c r="H217" s="250"/>
      <c r="I217" s="250"/>
      <c r="J217" s="250"/>
      <c r="K217" s="250"/>
      <c r="L217" s="250"/>
      <c r="M217" s="250"/>
      <c r="N217" s="250"/>
      <c r="O217" s="250"/>
      <c r="P217" s="250"/>
      <c r="Q217" s="250"/>
      <c r="R217" s="250"/>
      <c r="S217" s="250"/>
      <c r="T217" s="250"/>
      <c r="V217" s="250"/>
      <c r="W217" s="250"/>
      <c r="X217" s="250"/>
      <c r="Y217" s="250"/>
      <c r="Z217" s="250"/>
      <c r="AA217" s="250"/>
      <c r="AB217" s="250"/>
      <c r="AC217" s="250"/>
      <c r="AD217" s="250"/>
      <c r="AE217" s="250"/>
      <c r="AF217" s="250"/>
      <c r="AG217" s="250"/>
      <c r="AH217" s="250"/>
    </row>
    <row r="218" spans="1:34">
      <c r="A218" s="250"/>
      <c r="B218" s="250"/>
      <c r="C218" s="250"/>
      <c r="D218" s="250"/>
      <c r="E218" s="250"/>
      <c r="F218" s="250"/>
      <c r="G218" s="250"/>
      <c r="H218" s="250"/>
      <c r="I218" s="250"/>
      <c r="J218" s="250"/>
      <c r="K218" s="250"/>
      <c r="L218" s="250"/>
      <c r="M218" s="250"/>
      <c r="N218" s="250"/>
      <c r="O218" s="250"/>
      <c r="P218" s="250"/>
      <c r="Q218" s="250"/>
      <c r="R218" s="250"/>
      <c r="S218" s="250"/>
      <c r="T218" s="250"/>
      <c r="V218" s="250"/>
      <c r="W218" s="250"/>
      <c r="X218" s="250"/>
      <c r="Y218" s="250"/>
      <c r="Z218" s="250"/>
      <c r="AA218" s="250"/>
      <c r="AB218" s="250"/>
      <c r="AC218" s="250"/>
      <c r="AD218" s="250"/>
      <c r="AE218" s="250"/>
      <c r="AF218" s="250"/>
      <c r="AG218" s="250"/>
      <c r="AH218" s="250"/>
    </row>
    <row r="219" spans="1:34">
      <c r="A219" s="250"/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V219" s="250"/>
      <c r="W219" s="250"/>
      <c r="X219" s="250"/>
      <c r="Y219" s="250"/>
      <c r="Z219" s="250"/>
      <c r="AA219" s="250"/>
      <c r="AB219" s="250"/>
      <c r="AC219" s="250"/>
      <c r="AD219" s="250"/>
      <c r="AE219" s="250"/>
      <c r="AF219" s="250"/>
      <c r="AG219" s="250"/>
      <c r="AH219" s="250"/>
    </row>
    <row r="220" spans="1:34">
      <c r="A220" s="250"/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V220" s="250"/>
      <c r="W220" s="250"/>
      <c r="X220" s="250"/>
      <c r="Y220" s="250"/>
      <c r="Z220" s="250"/>
      <c r="AA220" s="250"/>
      <c r="AB220" s="250"/>
      <c r="AC220" s="250"/>
      <c r="AD220" s="250"/>
      <c r="AE220" s="250"/>
      <c r="AF220" s="250"/>
      <c r="AG220" s="250"/>
      <c r="AH220" s="250"/>
    </row>
    <row r="221" spans="1:34">
      <c r="A221" s="250"/>
      <c r="B221" s="250"/>
      <c r="C221" s="250"/>
      <c r="D221" s="250"/>
      <c r="E221" s="250"/>
      <c r="F221" s="250"/>
      <c r="G221" s="250"/>
      <c r="H221" s="250"/>
      <c r="I221" s="250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V221" s="250"/>
      <c r="W221" s="250"/>
      <c r="X221" s="250"/>
      <c r="Y221" s="250"/>
      <c r="Z221" s="250"/>
      <c r="AA221" s="250"/>
      <c r="AB221" s="250"/>
      <c r="AC221" s="250"/>
      <c r="AD221" s="250"/>
      <c r="AE221" s="250"/>
      <c r="AF221" s="250"/>
      <c r="AG221" s="250"/>
      <c r="AH221" s="250"/>
    </row>
    <row r="222" spans="1:34">
      <c r="A222" s="250"/>
      <c r="B222" s="250"/>
      <c r="C222" s="250"/>
      <c r="D222" s="250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V222" s="250"/>
      <c r="W222" s="250"/>
      <c r="X222" s="250"/>
      <c r="Y222" s="250"/>
      <c r="Z222" s="250"/>
      <c r="AA222" s="250"/>
      <c r="AB222" s="250"/>
      <c r="AC222" s="250"/>
      <c r="AD222" s="250"/>
      <c r="AE222" s="250"/>
      <c r="AF222" s="250"/>
      <c r="AG222" s="250"/>
      <c r="AH222" s="250"/>
    </row>
    <row r="223" spans="1:34">
      <c r="A223" s="250"/>
      <c r="B223" s="250"/>
      <c r="C223" s="250"/>
      <c r="D223" s="250"/>
      <c r="E223" s="250"/>
      <c r="F223" s="250"/>
      <c r="G223" s="250"/>
      <c r="H223" s="250"/>
      <c r="I223" s="250"/>
      <c r="J223" s="250"/>
      <c r="K223" s="250"/>
      <c r="L223" s="250"/>
      <c r="M223" s="250"/>
      <c r="N223" s="250"/>
      <c r="O223" s="250"/>
      <c r="P223" s="250"/>
      <c r="Q223" s="250"/>
      <c r="R223" s="250"/>
      <c r="S223" s="250"/>
      <c r="T223" s="250"/>
      <c r="V223" s="250"/>
      <c r="W223" s="250"/>
      <c r="X223" s="250"/>
      <c r="Y223" s="250"/>
      <c r="Z223" s="250"/>
      <c r="AA223" s="250"/>
      <c r="AB223" s="250"/>
      <c r="AC223" s="250"/>
      <c r="AD223" s="250"/>
      <c r="AE223" s="250"/>
      <c r="AF223" s="250"/>
      <c r="AG223" s="250"/>
      <c r="AH223" s="250"/>
    </row>
    <row r="224" spans="1:34">
      <c r="A224" s="250"/>
      <c r="B224" s="250"/>
      <c r="C224" s="250"/>
      <c r="D224" s="250"/>
      <c r="E224" s="250"/>
      <c r="F224" s="250"/>
      <c r="G224" s="250"/>
      <c r="H224" s="250"/>
      <c r="I224" s="250"/>
      <c r="J224" s="250"/>
      <c r="K224" s="250"/>
      <c r="L224" s="250"/>
      <c r="M224" s="250"/>
      <c r="N224" s="250"/>
      <c r="O224" s="250"/>
      <c r="P224" s="250"/>
      <c r="Q224" s="250"/>
      <c r="R224" s="250"/>
      <c r="S224" s="250"/>
      <c r="T224" s="250"/>
      <c r="V224" s="250"/>
      <c r="W224" s="250"/>
      <c r="X224" s="250"/>
      <c r="Y224" s="250"/>
      <c r="Z224" s="250"/>
      <c r="AA224" s="250"/>
      <c r="AB224" s="250"/>
      <c r="AC224" s="250"/>
      <c r="AD224" s="250"/>
      <c r="AE224" s="250"/>
      <c r="AF224" s="250"/>
      <c r="AG224" s="250"/>
      <c r="AH224" s="250"/>
    </row>
    <row r="225" spans="1:34">
      <c r="A225" s="250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V225" s="250"/>
      <c r="W225" s="250"/>
      <c r="X225" s="250"/>
      <c r="Y225" s="250"/>
      <c r="Z225" s="250"/>
      <c r="AA225" s="250"/>
      <c r="AB225" s="250"/>
      <c r="AC225" s="250"/>
      <c r="AD225" s="250"/>
      <c r="AE225" s="250"/>
      <c r="AF225" s="250"/>
      <c r="AG225" s="250"/>
      <c r="AH225" s="250"/>
    </row>
    <row r="226" spans="1:34">
      <c r="A226" s="250"/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V226" s="250"/>
      <c r="W226" s="250"/>
      <c r="X226" s="250"/>
      <c r="Y226" s="250"/>
      <c r="Z226" s="250"/>
      <c r="AA226" s="250"/>
      <c r="AB226" s="250"/>
      <c r="AC226" s="250"/>
      <c r="AD226" s="250"/>
      <c r="AE226" s="250"/>
      <c r="AF226" s="250"/>
      <c r="AG226" s="250"/>
      <c r="AH226" s="250"/>
    </row>
    <row r="227" spans="1:34">
      <c r="A227" s="250"/>
      <c r="B227" s="250"/>
      <c r="C227" s="250"/>
      <c r="D227" s="250"/>
      <c r="E227" s="250"/>
      <c r="F227" s="250"/>
      <c r="G227" s="250"/>
      <c r="H227" s="250"/>
      <c r="I227" s="250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V227" s="250"/>
      <c r="W227" s="250"/>
      <c r="X227" s="250"/>
      <c r="Y227" s="250"/>
      <c r="Z227" s="250"/>
      <c r="AA227" s="250"/>
      <c r="AB227" s="250"/>
      <c r="AC227" s="250"/>
      <c r="AD227" s="250"/>
      <c r="AE227" s="250"/>
      <c r="AF227" s="250"/>
      <c r="AG227" s="250"/>
      <c r="AH227" s="250"/>
    </row>
    <row r="228" spans="1:34">
      <c r="A228" s="250"/>
      <c r="B228" s="250"/>
      <c r="C228" s="250"/>
      <c r="D228" s="250"/>
      <c r="E228" s="250"/>
      <c r="F228" s="250"/>
      <c r="G228" s="250"/>
      <c r="H228" s="250"/>
      <c r="I228" s="250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V228" s="250"/>
      <c r="W228" s="250"/>
      <c r="X228" s="250"/>
      <c r="Y228" s="250"/>
      <c r="Z228" s="250"/>
      <c r="AA228" s="250"/>
      <c r="AB228" s="250"/>
      <c r="AC228" s="250"/>
      <c r="AD228" s="250"/>
      <c r="AE228" s="250"/>
      <c r="AF228" s="250"/>
      <c r="AG228" s="250"/>
      <c r="AH228" s="250"/>
    </row>
    <row r="229" spans="1:34">
      <c r="A229" s="250"/>
      <c r="B229" s="250"/>
      <c r="C229" s="250"/>
      <c r="D229" s="250"/>
      <c r="E229" s="250"/>
      <c r="F229" s="250"/>
      <c r="G229" s="250"/>
      <c r="H229" s="250"/>
      <c r="I229" s="250"/>
      <c r="J229" s="250"/>
      <c r="K229" s="250"/>
      <c r="L229" s="250"/>
      <c r="M229" s="250"/>
      <c r="N229" s="250"/>
      <c r="O229" s="250"/>
      <c r="P229" s="250"/>
      <c r="Q229" s="250"/>
      <c r="R229" s="250"/>
      <c r="S229" s="250"/>
      <c r="T229" s="250"/>
      <c r="V229" s="250"/>
      <c r="W229" s="250"/>
      <c r="X229" s="250"/>
      <c r="Y229" s="250"/>
      <c r="Z229" s="250"/>
      <c r="AA229" s="250"/>
      <c r="AB229" s="250"/>
      <c r="AC229" s="250"/>
      <c r="AD229" s="250"/>
      <c r="AE229" s="250"/>
      <c r="AF229" s="250"/>
      <c r="AG229" s="250"/>
      <c r="AH229" s="250"/>
    </row>
    <row r="230" spans="1:34">
      <c r="A230" s="250"/>
      <c r="B230" s="250"/>
      <c r="C230" s="250"/>
      <c r="D230" s="250"/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  <c r="S230" s="250"/>
      <c r="T230" s="250"/>
      <c r="V230" s="250"/>
      <c r="W230" s="250"/>
      <c r="X230" s="250"/>
      <c r="Y230" s="250"/>
      <c r="Z230" s="250"/>
      <c r="AA230" s="250"/>
      <c r="AB230" s="250"/>
      <c r="AC230" s="250"/>
      <c r="AD230" s="250"/>
      <c r="AE230" s="250"/>
      <c r="AF230" s="250"/>
      <c r="AG230" s="250"/>
      <c r="AH230" s="250"/>
    </row>
    <row r="231" spans="1:34">
      <c r="A231" s="250"/>
      <c r="B231" s="250"/>
      <c r="C231" s="250"/>
      <c r="D231" s="250"/>
      <c r="E231" s="250"/>
      <c r="F231" s="250"/>
      <c r="G231" s="250"/>
      <c r="H231" s="250"/>
      <c r="I231" s="250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V231" s="250"/>
      <c r="W231" s="250"/>
      <c r="X231" s="250"/>
      <c r="Y231" s="250"/>
      <c r="Z231" s="250"/>
      <c r="AA231" s="250"/>
      <c r="AB231" s="250"/>
      <c r="AC231" s="250"/>
      <c r="AD231" s="250"/>
      <c r="AE231" s="250"/>
      <c r="AF231" s="250"/>
      <c r="AG231" s="250"/>
      <c r="AH231" s="250"/>
    </row>
    <row r="232" spans="1:34">
      <c r="A232" s="250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V232" s="250"/>
      <c r="W232" s="250"/>
      <c r="X232" s="250"/>
      <c r="Y232" s="250"/>
      <c r="Z232" s="250"/>
      <c r="AA232" s="250"/>
      <c r="AB232" s="250"/>
      <c r="AC232" s="250"/>
      <c r="AD232" s="250"/>
      <c r="AE232" s="250"/>
      <c r="AF232" s="250"/>
      <c r="AG232" s="250"/>
      <c r="AH232" s="250"/>
    </row>
    <row r="233" spans="1:34">
      <c r="A233" s="250"/>
      <c r="B233" s="250"/>
      <c r="C233" s="250"/>
      <c r="D233" s="250"/>
      <c r="E233" s="250"/>
      <c r="F233" s="250"/>
      <c r="G233" s="250"/>
      <c r="H233" s="250"/>
      <c r="I233" s="250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V233" s="250"/>
      <c r="W233" s="250"/>
      <c r="X233" s="250"/>
      <c r="Y233" s="250"/>
      <c r="Z233" s="250"/>
      <c r="AA233" s="250"/>
      <c r="AB233" s="250"/>
      <c r="AC233" s="250"/>
      <c r="AD233" s="250"/>
      <c r="AE233" s="250"/>
      <c r="AF233" s="250"/>
      <c r="AG233" s="250"/>
      <c r="AH233" s="250"/>
    </row>
    <row r="234" spans="1:34">
      <c r="A234" s="250"/>
      <c r="B234" s="250"/>
      <c r="C234" s="250"/>
      <c r="D234" s="250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V234" s="250"/>
      <c r="W234" s="250"/>
      <c r="X234" s="250"/>
      <c r="Y234" s="250"/>
      <c r="Z234" s="250"/>
      <c r="AA234" s="250"/>
      <c r="AB234" s="250"/>
      <c r="AC234" s="250"/>
      <c r="AD234" s="250"/>
      <c r="AE234" s="250"/>
      <c r="AF234" s="250"/>
      <c r="AG234" s="250"/>
      <c r="AH234" s="250"/>
    </row>
    <row r="235" spans="1:34">
      <c r="A235" s="250"/>
      <c r="B235" s="250"/>
      <c r="C235" s="250"/>
      <c r="D235" s="250"/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  <c r="R235" s="250"/>
      <c r="S235" s="250"/>
      <c r="T235" s="250"/>
      <c r="V235" s="250"/>
      <c r="W235" s="250"/>
      <c r="X235" s="250"/>
      <c r="Y235" s="250"/>
      <c r="Z235" s="250"/>
      <c r="AA235" s="250"/>
      <c r="AB235" s="250"/>
      <c r="AC235" s="250"/>
      <c r="AD235" s="250"/>
      <c r="AE235" s="250"/>
      <c r="AF235" s="250"/>
      <c r="AG235" s="250"/>
      <c r="AH235" s="250"/>
    </row>
    <row r="236" spans="1:34">
      <c r="A236" s="250"/>
      <c r="B236" s="250"/>
      <c r="C236" s="250"/>
      <c r="D236" s="250"/>
      <c r="E236" s="250"/>
      <c r="F236" s="250"/>
      <c r="G236" s="250"/>
      <c r="H236" s="250"/>
      <c r="I236" s="250"/>
      <c r="J236" s="250"/>
      <c r="K236" s="250"/>
      <c r="L236" s="250"/>
      <c r="M236" s="250"/>
      <c r="N236" s="250"/>
      <c r="O236" s="250"/>
      <c r="P236" s="250"/>
      <c r="Q236" s="250"/>
      <c r="R236" s="250"/>
      <c r="S236" s="250"/>
      <c r="T236" s="250"/>
      <c r="V236" s="250"/>
      <c r="W236" s="250"/>
      <c r="X236" s="250"/>
      <c r="Y236" s="250"/>
      <c r="Z236" s="250"/>
      <c r="AA236" s="250"/>
      <c r="AB236" s="250"/>
      <c r="AC236" s="250"/>
      <c r="AD236" s="250"/>
      <c r="AE236" s="250"/>
      <c r="AF236" s="250"/>
      <c r="AG236" s="250"/>
      <c r="AH236" s="250"/>
    </row>
  </sheetData>
  <mergeCells count="43">
    <mergeCell ref="S72:S73"/>
    <mergeCell ref="B79:B81"/>
    <mergeCell ref="B56:B57"/>
    <mergeCell ref="C56:D56"/>
    <mergeCell ref="E56:E57"/>
    <mergeCell ref="F56:M56"/>
    <mergeCell ref="N56:R56"/>
    <mergeCell ref="B71:C73"/>
    <mergeCell ref="D71:S71"/>
    <mergeCell ref="D72:D73"/>
    <mergeCell ref="E72:E73"/>
    <mergeCell ref="F72:M72"/>
    <mergeCell ref="N72:R72"/>
    <mergeCell ref="M40:M41"/>
    <mergeCell ref="N40:N41"/>
    <mergeCell ref="E39:N39"/>
    <mergeCell ref="N10:R10"/>
    <mergeCell ref="B47:B49"/>
    <mergeCell ref="C47:D48"/>
    <mergeCell ref="E47:N47"/>
    <mergeCell ref="O47:P48"/>
    <mergeCell ref="E48:I48"/>
    <mergeCell ref="J48:J49"/>
    <mergeCell ref="K48:K49"/>
    <mergeCell ref="L48:L49"/>
    <mergeCell ref="M48:M49"/>
    <mergeCell ref="N48:N49"/>
    <mergeCell ref="S10:S11"/>
    <mergeCell ref="B17:B19"/>
    <mergeCell ref="B25:C25"/>
    <mergeCell ref="B28:C28"/>
    <mergeCell ref="B39:B41"/>
    <mergeCell ref="C39:D40"/>
    <mergeCell ref="B9:C11"/>
    <mergeCell ref="D9:S9"/>
    <mergeCell ref="D10:D11"/>
    <mergeCell ref="E10:E11"/>
    <mergeCell ref="F10:M10"/>
    <mergeCell ref="O39:P40"/>
    <mergeCell ref="E40:I40"/>
    <mergeCell ref="J40:J41"/>
    <mergeCell ref="K40:K41"/>
    <mergeCell ref="L40:L41"/>
  </mergeCells>
  <pageMargins left="0.25" right="0.25" top="0.75" bottom="0.75" header="0.3" footer="0.3"/>
  <pageSetup paperSize="9" scale="4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RowHeight="12.75"/>
  <cols>
    <col min="1" max="1" width="9.140625" style="2"/>
    <col min="2" max="2" width="6.85546875" style="2" customWidth="1"/>
    <col min="3" max="3" width="8.140625" style="129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97"/>
      <c r="I1" s="597"/>
      <c r="J1" s="597"/>
      <c r="K1" s="134"/>
      <c r="L1" s="134"/>
      <c r="M1" s="134"/>
      <c r="N1" s="134"/>
      <c r="O1" s="134"/>
      <c r="P1" s="134"/>
      <c r="Q1" s="597"/>
      <c r="R1" s="597"/>
      <c r="S1" s="597"/>
    </row>
    <row r="2" spans="2:19" s="13" customFormat="1" ht="61.5" customHeight="1" thickBot="1">
      <c r="B2" s="135" t="s">
        <v>156</v>
      </c>
      <c r="C2" s="132" t="s">
        <v>149</v>
      </c>
      <c r="D2" s="131" t="s">
        <v>2</v>
      </c>
      <c r="E2" s="131" t="s">
        <v>3</v>
      </c>
      <c r="F2" s="24" t="s">
        <v>67</v>
      </c>
      <c r="G2" s="79" t="s">
        <v>141</v>
      </c>
      <c r="H2" s="594" t="s">
        <v>140</v>
      </c>
      <c r="I2" s="595"/>
      <c r="J2" s="595"/>
      <c r="K2" s="595"/>
      <c r="L2" s="595"/>
      <c r="M2" s="595"/>
      <c r="N2" s="595"/>
      <c r="O2" s="595"/>
      <c r="P2" s="596"/>
      <c r="Q2" s="594" t="s">
        <v>153</v>
      </c>
      <c r="R2" s="595"/>
      <c r="S2" s="133" t="s">
        <v>155</v>
      </c>
    </row>
    <row r="3" spans="2:19" s="13" customFormat="1" ht="14.25" customHeight="1" thickBot="1">
      <c r="B3" s="29"/>
      <c r="C3" s="130"/>
      <c r="D3" s="29"/>
      <c r="E3" s="29"/>
      <c r="F3" s="29"/>
      <c r="G3" s="124"/>
      <c r="H3" s="123" t="s">
        <v>110</v>
      </c>
      <c r="I3" s="28" t="s">
        <v>111</v>
      </c>
      <c r="J3" s="28" t="s">
        <v>125</v>
      </c>
      <c r="K3" s="122" t="s">
        <v>113</v>
      </c>
      <c r="L3" s="122" t="s">
        <v>142</v>
      </c>
      <c r="M3" s="122" t="s">
        <v>112</v>
      </c>
      <c r="N3" s="122" t="s">
        <v>143</v>
      </c>
      <c r="O3" s="170" t="s">
        <v>144</v>
      </c>
      <c r="P3" s="171" t="s">
        <v>145</v>
      </c>
      <c r="Q3" s="176" t="s">
        <v>154</v>
      </c>
      <c r="R3" s="171" t="s">
        <v>94</v>
      </c>
      <c r="S3" s="123" t="s">
        <v>125</v>
      </c>
    </row>
    <row r="4" spans="2:19">
      <c r="B4" s="139" t="s">
        <v>57</v>
      </c>
      <c r="C4" s="140"/>
      <c r="D4" s="141" t="s">
        <v>58</v>
      </c>
      <c r="E4" s="17"/>
      <c r="F4" s="17"/>
      <c r="G4" s="125"/>
      <c r="H4" s="34"/>
      <c r="I4" s="154"/>
      <c r="J4" s="154"/>
      <c r="K4" s="154"/>
      <c r="L4" s="154"/>
      <c r="M4" s="154"/>
      <c r="N4" s="165"/>
      <c r="O4" s="172"/>
      <c r="P4" s="159"/>
      <c r="Q4" s="57"/>
      <c r="R4" s="66"/>
      <c r="S4" s="142"/>
    </row>
    <row r="5" spans="2:19">
      <c r="B5" s="143" t="s">
        <v>20</v>
      </c>
      <c r="C5" s="144"/>
      <c r="D5" s="138"/>
      <c r="E5" s="136" t="s">
        <v>0</v>
      </c>
      <c r="F5" s="138"/>
      <c r="G5" s="137"/>
      <c r="H5" s="43"/>
      <c r="I5" s="155"/>
      <c r="J5" s="155"/>
      <c r="K5" s="155"/>
      <c r="L5" s="155"/>
      <c r="M5" s="155"/>
      <c r="N5" s="166"/>
      <c r="O5" s="173"/>
      <c r="P5" s="160"/>
      <c r="Q5" s="58"/>
      <c r="R5" s="68"/>
      <c r="S5" s="145"/>
    </row>
    <row r="6" spans="2:19">
      <c r="B6" s="146" t="s">
        <v>33</v>
      </c>
      <c r="C6" s="147"/>
      <c r="D6" s="10"/>
      <c r="E6" s="10"/>
      <c r="F6" s="18" t="s">
        <v>9</v>
      </c>
      <c r="G6" s="126"/>
      <c r="H6" s="37"/>
      <c r="I6" s="156"/>
      <c r="J6" s="156"/>
      <c r="K6" s="156"/>
      <c r="L6" s="156"/>
      <c r="M6" s="156"/>
      <c r="N6" s="167"/>
      <c r="O6" s="162"/>
      <c r="P6" s="161"/>
      <c r="Q6" s="59"/>
      <c r="R6" s="69"/>
      <c r="S6" s="148"/>
    </row>
    <row r="7" spans="2:19" s="4" customFormat="1">
      <c r="B7" s="146" t="s">
        <v>152</v>
      </c>
      <c r="C7" s="147">
        <v>1</v>
      </c>
      <c r="D7" s="128"/>
      <c r="E7" s="128"/>
      <c r="F7" s="128" t="s">
        <v>146</v>
      </c>
      <c r="G7" s="178"/>
      <c r="H7" s="179"/>
      <c r="I7" s="180"/>
      <c r="J7" s="180"/>
      <c r="K7" s="180"/>
      <c r="L7" s="180"/>
      <c r="M7" s="180"/>
      <c r="N7" s="181"/>
      <c r="O7" s="182"/>
      <c r="P7" s="183"/>
      <c r="Q7" s="184"/>
      <c r="R7" s="185"/>
      <c r="S7" s="186"/>
    </row>
    <row r="8" spans="2:19" s="4" customFormat="1">
      <c r="B8" s="146" t="s">
        <v>150</v>
      </c>
      <c r="C8" s="147">
        <v>2</v>
      </c>
      <c r="D8" s="128"/>
      <c r="E8" s="128"/>
      <c r="F8" s="128" t="s">
        <v>147</v>
      </c>
      <c r="G8" s="178"/>
      <c r="H8" s="179"/>
      <c r="I8" s="180"/>
      <c r="J8" s="180"/>
      <c r="K8" s="180"/>
      <c r="L8" s="180"/>
      <c r="M8" s="180"/>
      <c r="N8" s="181"/>
      <c r="O8" s="182"/>
      <c r="P8" s="183"/>
      <c r="Q8" s="184"/>
      <c r="R8" s="185"/>
      <c r="S8" s="186"/>
    </row>
    <row r="9" spans="2:19" s="4" customFormat="1">
      <c r="B9" s="146" t="s">
        <v>151</v>
      </c>
      <c r="C9" s="147">
        <v>3</v>
      </c>
      <c r="D9" s="128"/>
      <c r="E9" s="128"/>
      <c r="F9" s="128" t="s">
        <v>148</v>
      </c>
      <c r="G9" s="178"/>
      <c r="H9" s="179"/>
      <c r="I9" s="180"/>
      <c r="J9" s="180"/>
      <c r="K9" s="180"/>
      <c r="L9" s="180"/>
      <c r="M9" s="180"/>
      <c r="N9" s="181"/>
      <c r="O9" s="182"/>
      <c r="P9" s="183"/>
      <c r="Q9" s="184"/>
      <c r="R9" s="185"/>
      <c r="S9" s="186"/>
    </row>
    <row r="10" spans="2:19">
      <c r="B10" s="143" t="s">
        <v>34</v>
      </c>
      <c r="C10" s="144"/>
      <c r="D10" s="138"/>
      <c r="E10" s="138"/>
      <c r="F10" s="136" t="s">
        <v>10</v>
      </c>
      <c r="G10" s="137"/>
      <c r="H10" s="43"/>
      <c r="I10" s="155"/>
      <c r="J10" s="155"/>
      <c r="K10" s="155"/>
      <c r="L10" s="155"/>
      <c r="M10" s="155"/>
      <c r="N10" s="166"/>
      <c r="O10" s="173"/>
      <c r="P10" s="160"/>
      <c r="Q10" s="58"/>
      <c r="R10" s="68"/>
      <c r="S10" s="145"/>
    </row>
    <row r="11" spans="2:19" s="4" customFormat="1">
      <c r="B11" s="177"/>
      <c r="C11" s="147">
        <v>1</v>
      </c>
      <c r="D11" s="128"/>
      <c r="E11" s="128"/>
      <c r="F11" s="128" t="s">
        <v>146</v>
      </c>
      <c r="G11" s="178"/>
      <c r="H11" s="179"/>
      <c r="I11" s="180"/>
      <c r="J11" s="180"/>
      <c r="K11" s="180"/>
      <c r="L11" s="180"/>
      <c r="M11" s="180"/>
      <c r="N11" s="181"/>
      <c r="O11" s="182"/>
      <c r="P11" s="183"/>
      <c r="Q11" s="184"/>
      <c r="R11" s="185"/>
      <c r="S11" s="186"/>
    </row>
    <row r="12" spans="2:19" s="4" customFormat="1">
      <c r="B12" s="177"/>
      <c r="C12" s="147">
        <v>2</v>
      </c>
      <c r="D12" s="128"/>
      <c r="E12" s="128"/>
      <c r="F12" s="128" t="s">
        <v>147</v>
      </c>
      <c r="G12" s="178"/>
      <c r="H12" s="179"/>
      <c r="I12" s="180"/>
      <c r="J12" s="180"/>
      <c r="K12" s="180"/>
      <c r="L12" s="180"/>
      <c r="M12" s="180"/>
      <c r="N12" s="181"/>
      <c r="O12" s="182"/>
      <c r="P12" s="183"/>
      <c r="Q12" s="184"/>
      <c r="R12" s="185"/>
      <c r="S12" s="186"/>
    </row>
    <row r="13" spans="2:19" s="4" customFormat="1">
      <c r="B13" s="177"/>
      <c r="C13" s="147">
        <v>3</v>
      </c>
      <c r="D13" s="128"/>
      <c r="E13" s="128"/>
      <c r="F13" s="128" t="s">
        <v>148</v>
      </c>
      <c r="G13" s="178"/>
      <c r="H13" s="179"/>
      <c r="I13" s="180"/>
      <c r="J13" s="180"/>
      <c r="K13" s="180"/>
      <c r="L13" s="180"/>
      <c r="M13" s="180"/>
      <c r="N13" s="181"/>
      <c r="O13" s="182"/>
      <c r="P13" s="183"/>
      <c r="Q13" s="184"/>
      <c r="R13" s="185"/>
      <c r="S13" s="186"/>
    </row>
    <row r="14" spans="2:19">
      <c r="B14" s="143" t="s">
        <v>21</v>
      </c>
      <c r="C14" s="144"/>
      <c r="D14" s="138"/>
      <c r="E14" s="136" t="s">
        <v>54</v>
      </c>
      <c r="F14" s="138"/>
      <c r="G14" s="137"/>
      <c r="H14" s="43"/>
      <c r="I14" s="155"/>
      <c r="J14" s="155"/>
      <c r="K14" s="155"/>
      <c r="L14" s="155"/>
      <c r="M14" s="155"/>
      <c r="N14" s="166"/>
      <c r="O14" s="173"/>
      <c r="P14" s="160"/>
      <c r="Q14" s="58"/>
      <c r="R14" s="68"/>
      <c r="S14" s="145"/>
    </row>
    <row r="15" spans="2:19">
      <c r="B15" s="146" t="s">
        <v>35</v>
      </c>
      <c r="C15" s="147"/>
      <c r="D15" s="10"/>
      <c r="E15" s="10"/>
      <c r="F15" s="10" t="s">
        <v>55</v>
      </c>
      <c r="G15" s="126"/>
      <c r="H15" s="37"/>
      <c r="I15" s="156"/>
      <c r="J15" s="156"/>
      <c r="K15" s="156"/>
      <c r="L15" s="156"/>
      <c r="M15" s="156"/>
      <c r="N15" s="167"/>
      <c r="O15" s="162"/>
      <c r="P15" s="161"/>
      <c r="Q15" s="59"/>
      <c r="R15" s="69"/>
      <c r="S15" s="148"/>
    </row>
    <row r="16" spans="2:19" s="4" customFormat="1">
      <c r="B16" s="177"/>
      <c r="C16" s="147">
        <v>1</v>
      </c>
      <c r="D16" s="128"/>
      <c r="E16" s="128"/>
      <c r="F16" s="128" t="s">
        <v>146</v>
      </c>
      <c r="G16" s="178"/>
      <c r="H16" s="179"/>
      <c r="I16" s="180"/>
      <c r="J16" s="180"/>
      <c r="K16" s="180"/>
      <c r="L16" s="180"/>
      <c r="M16" s="180"/>
      <c r="N16" s="181"/>
      <c r="O16" s="182"/>
      <c r="P16" s="183"/>
      <c r="Q16" s="184"/>
      <c r="R16" s="185"/>
      <c r="S16" s="186"/>
    </row>
    <row r="17" spans="2:19" s="4" customFormat="1">
      <c r="B17" s="177"/>
      <c r="C17" s="147">
        <v>2</v>
      </c>
      <c r="D17" s="128"/>
      <c r="E17" s="128"/>
      <c r="F17" s="128" t="s">
        <v>147</v>
      </c>
      <c r="G17" s="178"/>
      <c r="H17" s="179"/>
      <c r="I17" s="180"/>
      <c r="J17" s="180"/>
      <c r="K17" s="180"/>
      <c r="L17" s="180"/>
      <c r="M17" s="180"/>
      <c r="N17" s="181"/>
      <c r="O17" s="182"/>
      <c r="P17" s="183"/>
      <c r="Q17" s="184"/>
      <c r="R17" s="185"/>
      <c r="S17" s="186"/>
    </row>
    <row r="18" spans="2:19" s="4" customFormat="1">
      <c r="B18" s="177"/>
      <c r="C18" s="147">
        <v>3</v>
      </c>
      <c r="D18" s="128"/>
      <c r="E18" s="128"/>
      <c r="F18" s="128" t="s">
        <v>148</v>
      </c>
      <c r="G18" s="178"/>
      <c r="H18" s="179"/>
      <c r="I18" s="180"/>
      <c r="J18" s="180"/>
      <c r="K18" s="180"/>
      <c r="L18" s="180"/>
      <c r="M18" s="180"/>
      <c r="N18" s="181"/>
      <c r="O18" s="182"/>
      <c r="P18" s="183"/>
      <c r="Q18" s="184"/>
      <c r="R18" s="185"/>
      <c r="S18" s="186"/>
    </row>
    <row r="19" spans="2:19">
      <c r="B19" s="143" t="s">
        <v>36</v>
      </c>
      <c r="C19" s="144"/>
      <c r="D19" s="138"/>
      <c r="E19" s="138"/>
      <c r="F19" s="138" t="s">
        <v>56</v>
      </c>
      <c r="G19" s="137"/>
      <c r="H19" s="43"/>
      <c r="I19" s="155"/>
      <c r="J19" s="155"/>
      <c r="K19" s="155"/>
      <c r="L19" s="155"/>
      <c r="M19" s="155"/>
      <c r="N19" s="166"/>
      <c r="O19" s="173"/>
      <c r="P19" s="160"/>
      <c r="Q19" s="58"/>
      <c r="R19" s="68"/>
      <c r="S19" s="145"/>
    </row>
    <row r="20" spans="2:19" s="4" customFormat="1">
      <c r="B20" s="177"/>
      <c r="C20" s="147">
        <v>1</v>
      </c>
      <c r="D20" s="128"/>
      <c r="E20" s="128"/>
      <c r="F20" s="128" t="s">
        <v>146</v>
      </c>
      <c r="G20" s="178"/>
      <c r="H20" s="179"/>
      <c r="I20" s="180"/>
      <c r="J20" s="180"/>
      <c r="K20" s="180"/>
      <c r="L20" s="180"/>
      <c r="M20" s="180"/>
      <c r="N20" s="181"/>
      <c r="O20" s="182"/>
      <c r="P20" s="183"/>
      <c r="Q20" s="184"/>
      <c r="R20" s="185"/>
      <c r="S20" s="186"/>
    </row>
    <row r="21" spans="2:19" s="4" customFormat="1">
      <c r="B21" s="177"/>
      <c r="C21" s="147">
        <v>2</v>
      </c>
      <c r="D21" s="128"/>
      <c r="E21" s="128"/>
      <c r="F21" s="128" t="s">
        <v>147</v>
      </c>
      <c r="G21" s="178"/>
      <c r="H21" s="179"/>
      <c r="I21" s="180"/>
      <c r="J21" s="180"/>
      <c r="K21" s="180"/>
      <c r="L21" s="180"/>
      <c r="M21" s="180"/>
      <c r="N21" s="181"/>
      <c r="O21" s="182"/>
      <c r="P21" s="183"/>
      <c r="Q21" s="184"/>
      <c r="R21" s="185"/>
      <c r="S21" s="186"/>
    </row>
    <row r="22" spans="2:19" s="4" customFormat="1">
      <c r="B22" s="177"/>
      <c r="C22" s="147">
        <v>3</v>
      </c>
      <c r="D22" s="128"/>
      <c r="E22" s="128"/>
      <c r="F22" s="128" t="s">
        <v>148</v>
      </c>
      <c r="G22" s="178"/>
      <c r="H22" s="179"/>
      <c r="I22" s="180"/>
      <c r="J22" s="180"/>
      <c r="K22" s="180"/>
      <c r="L22" s="180"/>
      <c r="M22" s="180"/>
      <c r="N22" s="181"/>
      <c r="O22" s="182"/>
      <c r="P22" s="183"/>
      <c r="Q22" s="184"/>
      <c r="R22" s="185"/>
      <c r="S22" s="186"/>
    </row>
    <row r="23" spans="2:19">
      <c r="B23" s="143" t="s">
        <v>25</v>
      </c>
      <c r="C23" s="144"/>
      <c r="D23" s="138"/>
      <c r="E23" s="136" t="s">
        <v>42</v>
      </c>
      <c r="F23" s="138"/>
      <c r="G23" s="137"/>
      <c r="H23" s="43"/>
      <c r="I23" s="155"/>
      <c r="J23" s="155"/>
      <c r="K23" s="155"/>
      <c r="L23" s="155"/>
      <c r="M23" s="155"/>
      <c r="N23" s="166"/>
      <c r="O23" s="173"/>
      <c r="P23" s="160"/>
      <c r="Q23" s="58"/>
      <c r="R23" s="68"/>
      <c r="S23" s="145"/>
    </row>
    <row r="24" spans="2:19">
      <c r="B24" s="146" t="s">
        <v>43</v>
      </c>
      <c r="C24" s="147"/>
      <c r="D24" s="10"/>
      <c r="E24" s="10"/>
      <c r="F24" s="10" t="s">
        <v>15</v>
      </c>
      <c r="G24" s="126"/>
      <c r="H24" s="37"/>
      <c r="I24" s="156"/>
      <c r="J24" s="156"/>
      <c r="K24" s="156"/>
      <c r="L24" s="156"/>
      <c r="M24" s="156"/>
      <c r="N24" s="167"/>
      <c r="O24" s="162"/>
      <c r="P24" s="161"/>
      <c r="Q24" s="59"/>
      <c r="R24" s="69"/>
      <c r="S24" s="148"/>
    </row>
    <row r="25" spans="2:19" s="4" customFormat="1">
      <c r="B25" s="177"/>
      <c r="C25" s="147">
        <v>1</v>
      </c>
      <c r="D25" s="128"/>
      <c r="E25" s="128"/>
      <c r="F25" s="128" t="s">
        <v>146</v>
      </c>
      <c r="G25" s="178"/>
      <c r="H25" s="179"/>
      <c r="I25" s="180"/>
      <c r="J25" s="180"/>
      <c r="K25" s="180"/>
      <c r="L25" s="180"/>
      <c r="M25" s="180"/>
      <c r="N25" s="181"/>
      <c r="O25" s="182"/>
      <c r="P25" s="183"/>
      <c r="Q25" s="184"/>
      <c r="R25" s="185"/>
      <c r="S25" s="186"/>
    </row>
    <row r="26" spans="2:19" s="4" customFormat="1">
      <c r="B26" s="177"/>
      <c r="C26" s="147">
        <v>2</v>
      </c>
      <c r="D26" s="128"/>
      <c r="E26" s="128"/>
      <c r="F26" s="128" t="s">
        <v>147</v>
      </c>
      <c r="G26" s="178"/>
      <c r="H26" s="179"/>
      <c r="I26" s="180"/>
      <c r="J26" s="180"/>
      <c r="K26" s="180"/>
      <c r="L26" s="180"/>
      <c r="M26" s="180"/>
      <c r="N26" s="181"/>
      <c r="O26" s="182"/>
      <c r="P26" s="183"/>
      <c r="Q26" s="184"/>
      <c r="R26" s="185"/>
      <c r="S26" s="186"/>
    </row>
    <row r="27" spans="2:19" s="4" customFormat="1">
      <c r="B27" s="177"/>
      <c r="C27" s="147">
        <v>3</v>
      </c>
      <c r="D27" s="128"/>
      <c r="E27" s="128"/>
      <c r="F27" s="128" t="s">
        <v>148</v>
      </c>
      <c r="G27" s="178"/>
      <c r="H27" s="179"/>
      <c r="I27" s="180"/>
      <c r="J27" s="180"/>
      <c r="K27" s="180"/>
      <c r="L27" s="180"/>
      <c r="M27" s="180"/>
      <c r="N27" s="181"/>
      <c r="O27" s="182"/>
      <c r="P27" s="183"/>
      <c r="Q27" s="184"/>
      <c r="R27" s="185"/>
      <c r="S27" s="186"/>
    </row>
    <row r="28" spans="2:19">
      <c r="B28" s="143" t="s">
        <v>44</v>
      </c>
      <c r="C28" s="144"/>
      <c r="D28" s="138"/>
      <c r="E28" s="138"/>
      <c r="F28" s="138" t="s">
        <v>17</v>
      </c>
      <c r="G28" s="137"/>
      <c r="H28" s="43"/>
      <c r="I28" s="155"/>
      <c r="J28" s="155"/>
      <c r="K28" s="155"/>
      <c r="L28" s="155"/>
      <c r="M28" s="155"/>
      <c r="N28" s="166"/>
      <c r="O28" s="173"/>
      <c r="P28" s="160"/>
      <c r="Q28" s="58"/>
      <c r="R28" s="68"/>
      <c r="S28" s="145"/>
    </row>
    <row r="29" spans="2:19" s="4" customFormat="1">
      <c r="B29" s="177"/>
      <c r="C29" s="147">
        <v>1</v>
      </c>
      <c r="D29" s="128"/>
      <c r="E29" s="128"/>
      <c r="F29" s="128" t="s">
        <v>146</v>
      </c>
      <c r="G29" s="178"/>
      <c r="H29" s="179"/>
      <c r="I29" s="180"/>
      <c r="J29" s="180"/>
      <c r="K29" s="180"/>
      <c r="L29" s="180"/>
      <c r="M29" s="180"/>
      <c r="N29" s="181"/>
      <c r="O29" s="182"/>
      <c r="P29" s="183"/>
      <c r="Q29" s="184"/>
      <c r="R29" s="185"/>
      <c r="S29" s="186"/>
    </row>
    <row r="30" spans="2:19" s="4" customFormat="1">
      <c r="B30" s="177"/>
      <c r="C30" s="147">
        <v>2</v>
      </c>
      <c r="D30" s="128"/>
      <c r="E30" s="128"/>
      <c r="F30" s="128" t="s">
        <v>147</v>
      </c>
      <c r="G30" s="178"/>
      <c r="H30" s="179"/>
      <c r="I30" s="180"/>
      <c r="J30" s="180"/>
      <c r="K30" s="180"/>
      <c r="L30" s="180"/>
      <c r="M30" s="180"/>
      <c r="N30" s="181"/>
      <c r="O30" s="182"/>
      <c r="P30" s="183"/>
      <c r="Q30" s="184"/>
      <c r="R30" s="185"/>
      <c r="S30" s="186"/>
    </row>
    <row r="31" spans="2:19" s="4" customFormat="1">
      <c r="B31" s="177"/>
      <c r="C31" s="147">
        <v>3</v>
      </c>
      <c r="D31" s="128"/>
      <c r="E31" s="128"/>
      <c r="F31" s="128" t="s">
        <v>148</v>
      </c>
      <c r="G31" s="178"/>
      <c r="H31" s="179"/>
      <c r="I31" s="180"/>
      <c r="J31" s="180"/>
      <c r="K31" s="180"/>
      <c r="L31" s="180"/>
      <c r="M31" s="180"/>
      <c r="N31" s="181"/>
      <c r="O31" s="182"/>
      <c r="P31" s="183"/>
      <c r="Q31" s="184"/>
      <c r="R31" s="185"/>
      <c r="S31" s="186"/>
    </row>
    <row r="32" spans="2:19">
      <c r="B32" s="143" t="s">
        <v>45</v>
      </c>
      <c r="C32" s="144"/>
      <c r="D32" s="138"/>
      <c r="E32" s="138"/>
      <c r="F32" s="138" t="s">
        <v>16</v>
      </c>
      <c r="G32" s="137"/>
      <c r="H32" s="43"/>
      <c r="I32" s="155"/>
      <c r="J32" s="155"/>
      <c r="K32" s="155"/>
      <c r="L32" s="155"/>
      <c r="M32" s="155"/>
      <c r="N32" s="166"/>
      <c r="O32" s="173"/>
      <c r="P32" s="160"/>
      <c r="Q32" s="58"/>
      <c r="R32" s="68"/>
      <c r="S32" s="145"/>
    </row>
    <row r="33" spans="2:19" s="4" customFormat="1">
      <c r="B33" s="177"/>
      <c r="C33" s="147">
        <v>1</v>
      </c>
      <c r="D33" s="128"/>
      <c r="E33" s="128"/>
      <c r="F33" s="128" t="s">
        <v>146</v>
      </c>
      <c r="G33" s="178"/>
      <c r="H33" s="179"/>
      <c r="I33" s="180"/>
      <c r="J33" s="180"/>
      <c r="K33" s="180"/>
      <c r="L33" s="180"/>
      <c r="M33" s="180"/>
      <c r="N33" s="181"/>
      <c r="O33" s="182"/>
      <c r="P33" s="183"/>
      <c r="Q33" s="184"/>
      <c r="R33" s="185"/>
      <c r="S33" s="186"/>
    </row>
    <row r="34" spans="2:19" s="4" customFormat="1">
      <c r="B34" s="177"/>
      <c r="C34" s="147">
        <v>2</v>
      </c>
      <c r="D34" s="128"/>
      <c r="E34" s="128"/>
      <c r="F34" s="128" t="s">
        <v>147</v>
      </c>
      <c r="G34" s="178"/>
      <c r="H34" s="179"/>
      <c r="I34" s="180"/>
      <c r="J34" s="180"/>
      <c r="K34" s="180"/>
      <c r="L34" s="180"/>
      <c r="M34" s="180"/>
      <c r="N34" s="181"/>
      <c r="O34" s="182"/>
      <c r="P34" s="183"/>
      <c r="Q34" s="184"/>
      <c r="R34" s="185"/>
      <c r="S34" s="186"/>
    </row>
    <row r="35" spans="2:19" s="4" customFormat="1">
      <c r="B35" s="177"/>
      <c r="C35" s="147">
        <v>3</v>
      </c>
      <c r="D35" s="128"/>
      <c r="E35" s="128"/>
      <c r="F35" s="128" t="s">
        <v>148</v>
      </c>
      <c r="G35" s="178"/>
      <c r="H35" s="179"/>
      <c r="I35" s="180"/>
      <c r="J35" s="180"/>
      <c r="K35" s="180"/>
      <c r="L35" s="180"/>
      <c r="M35" s="180"/>
      <c r="N35" s="181"/>
      <c r="O35" s="182"/>
      <c r="P35" s="183"/>
      <c r="Q35" s="184"/>
      <c r="R35" s="185"/>
      <c r="S35" s="186"/>
    </row>
    <row r="36" spans="2:19">
      <c r="B36" s="143" t="s">
        <v>59</v>
      </c>
      <c r="C36" s="144"/>
      <c r="D36" s="136" t="s">
        <v>1</v>
      </c>
      <c r="E36" s="138"/>
      <c r="F36" s="138"/>
      <c r="G36" s="137"/>
      <c r="H36" s="43"/>
      <c r="I36" s="155"/>
      <c r="J36" s="155"/>
      <c r="K36" s="155"/>
      <c r="L36" s="155"/>
      <c r="M36" s="155"/>
      <c r="N36" s="166"/>
      <c r="O36" s="173"/>
      <c r="P36" s="160"/>
      <c r="Q36" s="58"/>
      <c r="R36" s="68"/>
      <c r="S36" s="145"/>
    </row>
    <row r="37" spans="2:19">
      <c r="B37" s="146" t="s">
        <v>26</v>
      </c>
      <c r="C37" s="147"/>
      <c r="D37" s="10"/>
      <c r="E37" s="18" t="s">
        <v>46</v>
      </c>
      <c r="F37" s="10"/>
      <c r="G37" s="126"/>
      <c r="H37" s="43"/>
      <c r="I37" s="155"/>
      <c r="J37" s="155"/>
      <c r="K37" s="155"/>
      <c r="L37" s="155"/>
      <c r="M37" s="155"/>
      <c r="N37" s="166"/>
      <c r="O37" s="173"/>
      <c r="P37" s="160"/>
      <c r="Q37" s="58"/>
      <c r="R37" s="68"/>
      <c r="S37" s="145"/>
    </row>
    <row r="38" spans="2:19">
      <c r="B38" s="146" t="s">
        <v>49</v>
      </c>
      <c r="C38" s="147"/>
      <c r="D38" s="10"/>
      <c r="E38" s="10"/>
      <c r="F38" s="10" t="s">
        <v>47</v>
      </c>
      <c r="G38" s="126"/>
      <c r="H38" s="37"/>
      <c r="I38" s="156"/>
      <c r="J38" s="156"/>
      <c r="K38" s="156"/>
      <c r="L38" s="156"/>
      <c r="M38" s="156"/>
      <c r="N38" s="167"/>
      <c r="O38" s="162"/>
      <c r="P38" s="161"/>
      <c r="Q38" s="59"/>
      <c r="R38" s="69"/>
      <c r="S38" s="148"/>
    </row>
    <row r="39" spans="2:19">
      <c r="B39" s="146" t="s">
        <v>50</v>
      </c>
      <c r="C39" s="147"/>
      <c r="D39" s="10"/>
      <c r="E39" s="10"/>
      <c r="F39" s="10" t="s">
        <v>68</v>
      </c>
      <c r="G39" s="126"/>
      <c r="H39" s="37"/>
      <c r="I39" s="156"/>
      <c r="J39" s="156"/>
      <c r="K39" s="156"/>
      <c r="L39" s="156"/>
      <c r="M39" s="156"/>
      <c r="N39" s="167"/>
      <c r="O39" s="162"/>
      <c r="P39" s="161"/>
      <c r="Q39" s="59"/>
      <c r="R39" s="69"/>
      <c r="S39" s="148"/>
    </row>
    <row r="40" spans="2:19">
      <c r="B40" s="146" t="s">
        <v>51</v>
      </c>
      <c r="C40" s="147"/>
      <c r="D40" s="10"/>
      <c r="E40" s="10"/>
      <c r="F40" s="10" t="s">
        <v>48</v>
      </c>
      <c r="G40" s="126"/>
      <c r="H40" s="37"/>
      <c r="I40" s="156"/>
      <c r="J40" s="156"/>
      <c r="K40" s="156"/>
      <c r="L40" s="156"/>
      <c r="M40" s="156"/>
      <c r="N40" s="167"/>
      <c r="O40" s="162"/>
      <c r="P40" s="161"/>
      <c r="Q40" s="59"/>
      <c r="R40" s="69"/>
      <c r="S40" s="148"/>
    </row>
    <row r="41" spans="2:19">
      <c r="B41" s="146" t="s">
        <v>27</v>
      </c>
      <c r="C41" s="147"/>
      <c r="D41" s="10"/>
      <c r="E41" s="18" t="s">
        <v>71</v>
      </c>
      <c r="F41" s="10"/>
      <c r="G41" s="126"/>
      <c r="H41" s="43"/>
      <c r="I41" s="155"/>
      <c r="J41" s="155"/>
      <c r="K41" s="155"/>
      <c r="L41" s="155"/>
      <c r="M41" s="155"/>
      <c r="N41" s="166"/>
      <c r="O41" s="173"/>
      <c r="P41" s="160"/>
      <c r="Q41" s="58"/>
      <c r="R41" s="68"/>
      <c r="S41" s="145"/>
    </row>
    <row r="42" spans="2:19">
      <c r="B42" s="146" t="s">
        <v>53</v>
      </c>
      <c r="C42" s="147"/>
      <c r="D42" s="10"/>
      <c r="E42" s="10"/>
      <c r="F42" s="10" t="s">
        <v>69</v>
      </c>
      <c r="G42" s="126"/>
      <c r="H42" s="37"/>
      <c r="I42" s="156"/>
      <c r="J42" s="156"/>
      <c r="K42" s="156"/>
      <c r="L42" s="156"/>
      <c r="M42" s="156"/>
      <c r="N42" s="167"/>
      <c r="O42" s="162"/>
      <c r="P42" s="161"/>
      <c r="Q42" s="59"/>
      <c r="R42" s="69"/>
      <c r="S42" s="148"/>
    </row>
    <row r="43" spans="2:19">
      <c r="B43" s="146" t="s">
        <v>52</v>
      </c>
      <c r="C43" s="147"/>
      <c r="D43" s="10"/>
      <c r="E43" s="10"/>
      <c r="F43" s="10" t="s">
        <v>73</v>
      </c>
      <c r="G43" s="126"/>
      <c r="H43" s="37"/>
      <c r="I43" s="156"/>
      <c r="J43" s="156"/>
      <c r="K43" s="156"/>
      <c r="L43" s="156"/>
      <c r="M43" s="156"/>
      <c r="N43" s="167"/>
      <c r="O43" s="162"/>
      <c r="P43" s="161"/>
      <c r="Q43" s="59"/>
      <c r="R43" s="69"/>
      <c r="S43" s="148"/>
    </row>
    <row r="44" spans="2:19">
      <c r="B44" s="146" t="s">
        <v>72</v>
      </c>
      <c r="C44" s="147"/>
      <c r="D44" s="10"/>
      <c r="E44" s="10"/>
      <c r="F44" s="10" t="s">
        <v>70</v>
      </c>
      <c r="G44" s="126"/>
      <c r="H44" s="37"/>
      <c r="I44" s="156"/>
      <c r="J44" s="156"/>
      <c r="K44" s="156"/>
      <c r="L44" s="156"/>
      <c r="M44" s="156"/>
      <c r="N44" s="167"/>
      <c r="O44" s="162"/>
      <c r="P44" s="161"/>
      <c r="Q44" s="59"/>
      <c r="R44" s="69"/>
      <c r="S44" s="148"/>
    </row>
    <row r="45" spans="2:19">
      <c r="B45" s="143" t="s">
        <v>60</v>
      </c>
      <c r="C45" s="144"/>
      <c r="D45" s="136" t="s">
        <v>4</v>
      </c>
      <c r="E45" s="138"/>
      <c r="F45" s="138"/>
      <c r="G45" s="137"/>
      <c r="H45" s="43"/>
      <c r="I45" s="155"/>
      <c r="J45" s="155"/>
      <c r="K45" s="155"/>
      <c r="L45" s="155"/>
      <c r="M45" s="155"/>
      <c r="N45" s="166"/>
      <c r="O45" s="173"/>
      <c r="P45" s="160"/>
      <c r="Q45" s="58"/>
      <c r="R45" s="68"/>
      <c r="S45" s="145"/>
    </row>
    <row r="46" spans="2:19">
      <c r="B46" s="146" t="s">
        <v>28</v>
      </c>
      <c r="C46" s="147"/>
      <c r="D46" s="10"/>
      <c r="E46" s="18" t="s">
        <v>7</v>
      </c>
      <c r="F46" s="10"/>
      <c r="G46" s="126"/>
      <c r="H46" s="37"/>
      <c r="I46" s="156"/>
      <c r="J46" s="156"/>
      <c r="K46" s="156"/>
      <c r="L46" s="156"/>
      <c r="M46" s="156"/>
      <c r="N46" s="167"/>
      <c r="O46" s="162"/>
      <c r="P46" s="161"/>
      <c r="Q46" s="59"/>
      <c r="R46" s="69"/>
      <c r="S46" s="148"/>
    </row>
    <row r="47" spans="2:19">
      <c r="B47" s="146" t="s">
        <v>29</v>
      </c>
      <c r="C47" s="147"/>
      <c r="D47" s="10"/>
      <c r="E47" s="18" t="s">
        <v>8</v>
      </c>
      <c r="F47" s="10"/>
      <c r="G47" s="126"/>
      <c r="H47" s="37"/>
      <c r="I47" s="156"/>
      <c r="J47" s="156"/>
      <c r="K47" s="156"/>
      <c r="L47" s="156"/>
      <c r="M47" s="156"/>
      <c r="N47" s="167"/>
      <c r="O47" s="162"/>
      <c r="P47" s="161"/>
      <c r="Q47" s="59"/>
      <c r="R47" s="69"/>
      <c r="S47" s="148"/>
    </row>
    <row r="48" spans="2:19">
      <c r="B48" s="146" t="s">
        <v>30</v>
      </c>
      <c r="C48" s="147"/>
      <c r="D48" s="10"/>
      <c r="E48" s="18" t="s">
        <v>5</v>
      </c>
      <c r="F48" s="10"/>
      <c r="G48" s="126"/>
      <c r="H48" s="37"/>
      <c r="I48" s="156"/>
      <c r="J48" s="156"/>
      <c r="K48" s="156"/>
      <c r="L48" s="156"/>
      <c r="M48" s="156"/>
      <c r="N48" s="167"/>
      <c r="O48" s="162"/>
      <c r="P48" s="161"/>
      <c r="Q48" s="59"/>
      <c r="R48" s="69"/>
      <c r="S48" s="148"/>
    </row>
    <row r="49" spans="2:20">
      <c r="B49" s="146" t="s">
        <v>31</v>
      </c>
      <c r="C49" s="147"/>
      <c r="D49" s="10"/>
      <c r="E49" s="18" t="s">
        <v>18</v>
      </c>
      <c r="F49" s="10"/>
      <c r="G49" s="126"/>
      <c r="H49" s="162"/>
      <c r="I49" s="156"/>
      <c r="J49" s="156"/>
      <c r="K49" s="156"/>
      <c r="L49" s="156"/>
      <c r="M49" s="156"/>
      <c r="N49" s="167"/>
      <c r="O49" s="162"/>
      <c r="P49" s="161"/>
      <c r="Q49" s="153"/>
      <c r="R49" s="69"/>
      <c r="S49" s="148"/>
    </row>
    <row r="50" spans="2:20">
      <c r="B50" s="143" t="s">
        <v>61</v>
      </c>
      <c r="C50" s="144"/>
      <c r="D50" s="136" t="s">
        <v>11</v>
      </c>
      <c r="E50" s="138"/>
      <c r="F50" s="138"/>
      <c r="G50" s="137"/>
      <c r="H50" s="43"/>
      <c r="I50" s="155"/>
      <c r="J50" s="155"/>
      <c r="K50" s="155"/>
      <c r="L50" s="155"/>
      <c r="M50" s="155"/>
      <c r="N50" s="166"/>
      <c r="O50" s="173"/>
      <c r="P50" s="160"/>
      <c r="Q50" s="58"/>
      <c r="R50" s="68"/>
      <c r="S50" s="145"/>
    </row>
    <row r="51" spans="2:20">
      <c r="B51" s="146" t="s">
        <v>22</v>
      </c>
      <c r="C51" s="147"/>
      <c r="D51" s="10"/>
      <c r="E51" s="18" t="s">
        <v>11</v>
      </c>
      <c r="F51" s="10"/>
      <c r="G51" s="126"/>
      <c r="H51" s="37"/>
      <c r="I51" s="156"/>
      <c r="J51" s="156"/>
      <c r="K51" s="156"/>
      <c r="L51" s="156"/>
      <c r="M51" s="156"/>
      <c r="N51" s="167"/>
      <c r="O51" s="162"/>
      <c r="P51" s="161"/>
      <c r="Q51" s="59"/>
      <c r="R51" s="69"/>
      <c r="S51" s="148"/>
    </row>
    <row r="52" spans="2:20">
      <c r="B52" s="146" t="s">
        <v>62</v>
      </c>
      <c r="C52" s="147"/>
      <c r="D52" s="10"/>
      <c r="E52" s="18" t="s">
        <v>63</v>
      </c>
      <c r="F52" s="10"/>
      <c r="G52" s="126"/>
      <c r="H52" s="37"/>
      <c r="I52" s="156"/>
      <c r="J52" s="156"/>
      <c r="K52" s="156"/>
      <c r="L52" s="156"/>
      <c r="M52" s="156"/>
      <c r="N52" s="167"/>
      <c r="O52" s="162"/>
      <c r="P52" s="161"/>
      <c r="Q52" s="59"/>
      <c r="R52" s="69"/>
      <c r="S52" s="148"/>
    </row>
    <row r="53" spans="2:20">
      <c r="B53" s="143" t="s">
        <v>23</v>
      </c>
      <c r="C53" s="144"/>
      <c r="D53" s="136" t="s">
        <v>12</v>
      </c>
      <c r="E53" s="138"/>
      <c r="F53" s="138"/>
      <c r="G53" s="137"/>
      <c r="H53" s="43"/>
      <c r="I53" s="155"/>
      <c r="J53" s="155"/>
      <c r="K53" s="155"/>
      <c r="L53" s="155"/>
      <c r="M53" s="155"/>
      <c r="N53" s="166"/>
      <c r="O53" s="173"/>
      <c r="P53" s="160"/>
      <c r="Q53" s="58"/>
      <c r="R53" s="68"/>
      <c r="S53" s="145"/>
    </row>
    <row r="54" spans="2:20">
      <c r="B54" s="146" t="s">
        <v>23</v>
      </c>
      <c r="C54" s="147"/>
      <c r="D54" s="10"/>
      <c r="E54" s="18" t="s">
        <v>12</v>
      </c>
      <c r="F54" s="10"/>
      <c r="G54" s="126"/>
      <c r="H54" s="37"/>
      <c r="I54" s="156"/>
      <c r="J54" s="156"/>
      <c r="K54" s="156"/>
      <c r="L54" s="156"/>
      <c r="M54" s="156"/>
      <c r="N54" s="167"/>
      <c r="O54" s="162"/>
      <c r="P54" s="161"/>
      <c r="Q54" s="59"/>
      <c r="R54" s="69"/>
      <c r="S54" s="148"/>
      <c r="T54" s="4"/>
    </row>
    <row r="55" spans="2:20">
      <c r="B55" s="143"/>
      <c r="C55" s="144"/>
      <c r="D55" s="136" t="s">
        <v>74</v>
      </c>
      <c r="E55" s="138"/>
      <c r="F55" s="138"/>
      <c r="G55" s="137"/>
      <c r="H55" s="43"/>
      <c r="I55" s="155"/>
      <c r="J55" s="155"/>
      <c r="K55" s="155"/>
      <c r="L55" s="155"/>
      <c r="M55" s="155"/>
      <c r="N55" s="166"/>
      <c r="O55" s="173"/>
      <c r="P55" s="160"/>
      <c r="Q55" s="58"/>
      <c r="R55" s="68"/>
      <c r="S55" s="145"/>
    </row>
    <row r="56" spans="2:20">
      <c r="B56" s="146" t="s">
        <v>24</v>
      </c>
      <c r="C56" s="147"/>
      <c r="D56" s="18" t="s">
        <v>41</v>
      </c>
      <c r="E56" s="10"/>
      <c r="F56" s="10"/>
      <c r="G56" s="126"/>
      <c r="H56" s="43"/>
      <c r="I56" s="155"/>
      <c r="J56" s="155"/>
      <c r="K56" s="155"/>
      <c r="L56" s="155"/>
      <c r="M56" s="155"/>
      <c r="N56" s="166"/>
      <c r="O56" s="173"/>
      <c r="P56" s="160"/>
      <c r="Q56" s="58"/>
      <c r="R56" s="68"/>
      <c r="S56" s="145"/>
    </row>
    <row r="57" spans="2:20">
      <c r="B57" s="146" t="s">
        <v>37</v>
      </c>
      <c r="C57" s="147"/>
      <c r="D57" s="10"/>
      <c r="E57" s="10" t="s">
        <v>13</v>
      </c>
      <c r="F57" s="10"/>
      <c r="G57" s="126"/>
      <c r="H57" s="37"/>
      <c r="I57" s="156"/>
      <c r="J57" s="156"/>
      <c r="K57" s="156"/>
      <c r="L57" s="156"/>
      <c r="M57" s="156"/>
      <c r="N57" s="167"/>
      <c r="O57" s="162"/>
      <c r="P57" s="161"/>
      <c r="Q57" s="59"/>
      <c r="R57" s="69"/>
      <c r="S57" s="148"/>
    </row>
    <row r="58" spans="2:20">
      <c r="B58" s="146" t="s">
        <v>38</v>
      </c>
      <c r="C58" s="147"/>
      <c r="D58" s="10"/>
      <c r="E58" s="10" t="s">
        <v>14</v>
      </c>
      <c r="F58" s="10"/>
      <c r="G58" s="126"/>
      <c r="H58" s="37"/>
      <c r="I58" s="156"/>
      <c r="J58" s="156"/>
      <c r="K58" s="156"/>
      <c r="L58" s="156"/>
      <c r="M58" s="156"/>
      <c r="N58" s="167"/>
      <c r="O58" s="162"/>
      <c r="P58" s="161"/>
      <c r="Q58" s="59"/>
      <c r="R58" s="69"/>
      <c r="S58" s="148"/>
    </row>
    <row r="59" spans="2:20">
      <c r="B59" s="146" t="s">
        <v>39</v>
      </c>
      <c r="C59" s="147"/>
      <c r="D59" s="10"/>
      <c r="E59" s="10" t="s">
        <v>40</v>
      </c>
      <c r="F59" s="10"/>
      <c r="G59" s="126"/>
      <c r="H59" s="37"/>
      <c r="I59" s="156"/>
      <c r="J59" s="156"/>
      <c r="K59" s="156"/>
      <c r="L59" s="156"/>
      <c r="M59" s="156"/>
      <c r="N59" s="167"/>
      <c r="O59" s="162"/>
      <c r="P59" s="161"/>
      <c r="Q59" s="59"/>
      <c r="R59" s="69"/>
      <c r="S59" s="148"/>
    </row>
    <row r="60" spans="2:20">
      <c r="B60" s="146" t="s">
        <v>75</v>
      </c>
      <c r="C60" s="147"/>
      <c r="D60" s="18" t="s">
        <v>66</v>
      </c>
      <c r="E60" s="10"/>
      <c r="F60" s="10"/>
      <c r="G60" s="126"/>
      <c r="H60" s="43"/>
      <c r="I60" s="155"/>
      <c r="J60" s="155"/>
      <c r="K60" s="155"/>
      <c r="L60" s="155"/>
      <c r="M60" s="155"/>
      <c r="N60" s="166"/>
      <c r="O60" s="173"/>
      <c r="P60" s="160"/>
      <c r="Q60" s="58"/>
      <c r="R60" s="68"/>
      <c r="S60" s="145"/>
    </row>
    <row r="61" spans="2:20">
      <c r="B61" s="146" t="s">
        <v>32</v>
      </c>
      <c r="C61" s="147"/>
      <c r="D61" s="10"/>
      <c r="E61" s="10" t="s">
        <v>19</v>
      </c>
      <c r="F61" s="10"/>
      <c r="G61" s="126"/>
      <c r="H61" s="82"/>
      <c r="I61" s="157"/>
      <c r="J61" s="157"/>
      <c r="K61" s="157"/>
      <c r="L61" s="157"/>
      <c r="M61" s="157"/>
      <c r="N61" s="168"/>
      <c r="O61" s="174"/>
      <c r="P61" s="163"/>
      <c r="Q61" s="73"/>
      <c r="R61" s="75"/>
      <c r="S61" s="149"/>
    </row>
    <row r="62" spans="2:20">
      <c r="B62" s="146" t="s">
        <v>64</v>
      </c>
      <c r="C62" s="147"/>
      <c r="D62" s="10"/>
      <c r="E62" s="10" t="s">
        <v>6</v>
      </c>
      <c r="F62" s="10"/>
      <c r="G62" s="126"/>
      <c r="H62" s="37"/>
      <c r="I62" s="156"/>
      <c r="J62" s="156"/>
      <c r="K62" s="156"/>
      <c r="L62" s="156"/>
      <c r="M62" s="156"/>
      <c r="N62" s="167"/>
      <c r="O62" s="162"/>
      <c r="P62" s="161"/>
      <c r="Q62" s="73"/>
      <c r="R62" s="75"/>
      <c r="S62" s="149"/>
    </row>
    <row r="63" spans="2:20" ht="13.5" thickBot="1">
      <c r="B63" s="150" t="s">
        <v>65</v>
      </c>
      <c r="C63" s="151"/>
      <c r="D63" s="11"/>
      <c r="E63" s="11" t="s">
        <v>115</v>
      </c>
      <c r="F63" s="11"/>
      <c r="G63" s="127"/>
      <c r="H63" s="40"/>
      <c r="I63" s="158"/>
      <c r="J63" s="158"/>
      <c r="K63" s="158"/>
      <c r="L63" s="158"/>
      <c r="M63" s="158"/>
      <c r="N63" s="169"/>
      <c r="O63" s="175"/>
      <c r="P63" s="164"/>
      <c r="Q63" s="76"/>
      <c r="R63" s="78"/>
      <c r="S63" s="152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98" t="s">
        <v>93</v>
      </c>
      <c r="G1" s="599"/>
      <c r="H1" s="599"/>
      <c r="I1" s="599"/>
      <c r="J1" s="599"/>
      <c r="K1" s="599"/>
      <c r="L1" s="599"/>
      <c r="M1" s="599"/>
      <c r="N1" s="599"/>
      <c r="O1" s="599"/>
      <c r="Q1" s="598" t="s">
        <v>92</v>
      </c>
      <c r="R1" s="599"/>
      <c r="S1" s="5"/>
      <c r="T1" s="600" t="s">
        <v>104</v>
      </c>
      <c r="U1" s="600"/>
      <c r="V1" s="600"/>
      <c r="W1" s="5"/>
      <c r="X1" s="601" t="s">
        <v>117</v>
      </c>
      <c r="Y1" s="601"/>
      <c r="Z1" s="601"/>
      <c r="AA1" s="5"/>
      <c r="AB1" s="602" t="s">
        <v>91</v>
      </c>
      <c r="AC1" s="603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217</v>
      </c>
      <c r="O2" s="26" t="s">
        <v>218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7"/>
      <c r="U4" s="65"/>
      <c r="V4" s="66"/>
      <c r="W4" s="33"/>
      <c r="X4" s="57"/>
      <c r="Y4" s="65"/>
      <c r="Z4" s="66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8"/>
      <c r="U5" s="67"/>
      <c r="V5" s="68"/>
      <c r="W5" s="33"/>
      <c r="X5" s="58"/>
      <c r="Y5" s="67"/>
      <c r="Z5" s="68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9"/>
      <c r="U6" s="64"/>
      <c r="V6" s="69"/>
      <c r="W6" s="33"/>
      <c r="X6" s="59"/>
      <c r="Y6" s="64"/>
      <c r="Z6" s="69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9"/>
      <c r="U7" s="64"/>
      <c r="V7" s="69"/>
      <c r="W7" s="33"/>
      <c r="X7" s="59"/>
      <c r="Y7" s="64"/>
      <c r="Z7" s="69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8"/>
      <c r="U8" s="67"/>
      <c r="V8" s="68"/>
      <c r="W8" s="33"/>
      <c r="X8" s="58"/>
      <c r="Y8" s="67"/>
      <c r="Z8" s="68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9"/>
      <c r="U9" s="64"/>
      <c r="V9" s="69"/>
      <c r="W9" s="33"/>
      <c r="X9" s="59"/>
      <c r="Y9" s="64"/>
      <c r="Z9" s="69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9"/>
      <c r="U10" s="64"/>
      <c r="V10" s="69"/>
      <c r="W10" s="33"/>
      <c r="X10" s="59"/>
      <c r="Y10" s="64"/>
      <c r="Z10" s="69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8"/>
      <c r="U11" s="67"/>
      <c r="V11" s="68"/>
      <c r="W11" s="33"/>
      <c r="X11" s="58"/>
      <c r="Y11" s="67"/>
      <c r="Z11" s="68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9"/>
      <c r="U12" s="64"/>
      <c r="V12" s="69"/>
      <c r="W12" s="33"/>
      <c r="X12" s="59"/>
      <c r="Y12" s="64"/>
      <c r="Z12" s="69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9"/>
      <c r="U13" s="64"/>
      <c r="V13" s="69"/>
      <c r="W13" s="33"/>
      <c r="X13" s="59"/>
      <c r="Y13" s="64"/>
      <c r="Z13" s="69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60"/>
      <c r="U14" s="62"/>
      <c r="V14" s="70"/>
      <c r="W14" s="33"/>
      <c r="X14" s="60"/>
      <c r="Y14" s="62"/>
      <c r="Z14" s="70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7"/>
      <c r="U15" s="65"/>
      <c r="V15" s="66"/>
      <c r="W15" s="33"/>
      <c r="X15" s="57"/>
      <c r="Y15" s="65"/>
      <c r="Z15" s="66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8"/>
      <c r="U16" s="67"/>
      <c r="V16" s="68"/>
      <c r="W16" s="33"/>
      <c r="X16" s="58"/>
      <c r="Y16" s="67"/>
      <c r="Z16" s="68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9"/>
      <c r="U17" s="64"/>
      <c r="V17" s="69"/>
      <c r="W17" s="33"/>
      <c r="X17" s="59"/>
      <c r="Y17" s="64"/>
      <c r="Z17" s="69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9"/>
      <c r="U18" s="64"/>
      <c r="V18" s="69"/>
      <c r="W18" s="33"/>
      <c r="X18" s="59"/>
      <c r="Y18" s="64"/>
      <c r="Z18" s="69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9"/>
      <c r="U19" s="64"/>
      <c r="V19" s="69"/>
      <c r="W19" s="33"/>
      <c r="X19" s="59"/>
      <c r="Y19" s="64"/>
      <c r="Z19" s="69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8"/>
      <c r="U20" s="67"/>
      <c r="V20" s="68"/>
      <c r="W20" s="33"/>
      <c r="X20" s="58"/>
      <c r="Y20" s="67"/>
      <c r="Z20" s="68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9"/>
      <c r="U21" s="64"/>
      <c r="V21" s="69"/>
      <c r="W21" s="33"/>
      <c r="X21" s="59"/>
      <c r="Y21" s="64"/>
      <c r="Z21" s="69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81"/>
      <c r="L22" s="35"/>
      <c r="M22" s="35"/>
      <c r="N22" s="35"/>
      <c r="O22" s="36"/>
      <c r="P22" s="33"/>
      <c r="Q22" s="37"/>
      <c r="R22" s="36"/>
      <c r="S22" s="33"/>
      <c r="T22" s="59"/>
      <c r="U22" s="64"/>
      <c r="V22" s="69"/>
      <c r="W22" s="33"/>
      <c r="X22" s="59"/>
      <c r="Y22" s="64"/>
      <c r="Z22" s="69"/>
      <c r="AA22" s="33"/>
      <c r="AB22" s="82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80"/>
      <c r="L23" s="38"/>
      <c r="M23" s="38"/>
      <c r="N23" s="38"/>
      <c r="O23" s="39"/>
      <c r="P23" s="33"/>
      <c r="Q23" s="40"/>
      <c r="R23" s="39"/>
      <c r="S23" s="33"/>
      <c r="T23" s="60"/>
      <c r="U23" s="62"/>
      <c r="V23" s="70"/>
      <c r="W23" s="33"/>
      <c r="X23" s="60"/>
      <c r="Y23" s="62"/>
      <c r="Z23" s="70"/>
      <c r="AA23" s="33"/>
      <c r="AB23" s="83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7"/>
      <c r="U24" s="65"/>
      <c r="V24" s="66"/>
      <c r="W24" s="33"/>
      <c r="X24" s="57"/>
      <c r="Y24" s="65"/>
      <c r="Z24" s="66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9"/>
      <c r="U25" s="64"/>
      <c r="V25" s="69"/>
      <c r="W25" s="33"/>
      <c r="X25" s="59"/>
      <c r="Y25" s="64"/>
      <c r="Z25" s="69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9"/>
      <c r="U26" s="64"/>
      <c r="V26" s="69"/>
      <c r="W26" s="33"/>
      <c r="X26" s="59"/>
      <c r="Y26" s="64"/>
      <c r="Z26" s="69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9"/>
      <c r="U27" s="64"/>
      <c r="V27" s="69"/>
      <c r="W27" s="33"/>
      <c r="X27" s="59"/>
      <c r="Y27" s="64"/>
      <c r="Z27" s="69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1"/>
      <c r="U28" s="62"/>
      <c r="V28" s="70"/>
      <c r="W28" s="33"/>
      <c r="X28" s="61"/>
      <c r="Y28" s="62"/>
      <c r="Z28" s="70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7"/>
      <c r="U29" s="65"/>
      <c r="V29" s="66"/>
      <c r="W29" s="33"/>
      <c r="X29" s="57"/>
      <c r="Y29" s="65"/>
      <c r="Z29" s="66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9"/>
      <c r="U30" s="64"/>
      <c r="V30" s="69"/>
      <c r="W30" s="33"/>
      <c r="X30" s="59"/>
      <c r="Y30" s="64"/>
      <c r="Z30" s="69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60"/>
      <c r="U31" s="62"/>
      <c r="V31" s="70"/>
      <c r="W31" s="33"/>
      <c r="X31" s="60"/>
      <c r="Y31" s="62"/>
      <c r="Z31" s="70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7"/>
      <c r="U32" s="65"/>
      <c r="V32" s="66"/>
      <c r="W32" s="33"/>
      <c r="X32" s="57"/>
      <c r="Y32" s="65"/>
      <c r="Z32" s="66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60"/>
      <c r="U33" s="62"/>
      <c r="V33" s="70"/>
      <c r="W33" s="33"/>
      <c r="X33" s="60"/>
      <c r="Y33" s="62"/>
      <c r="Z33" s="70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7"/>
      <c r="U34" s="65"/>
      <c r="V34" s="66"/>
      <c r="W34" s="33"/>
      <c r="X34" s="57"/>
      <c r="Y34" s="65"/>
      <c r="Z34" s="66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8"/>
      <c r="U35" s="67"/>
      <c r="V35" s="68"/>
      <c r="W35" s="33"/>
      <c r="X35" s="58"/>
      <c r="Y35" s="67"/>
      <c r="Z35" s="68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9"/>
      <c r="U36" s="64"/>
      <c r="V36" s="69"/>
      <c r="W36" s="33"/>
      <c r="X36" s="59"/>
      <c r="Y36" s="64"/>
      <c r="Z36" s="69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9"/>
      <c r="U37" s="64"/>
      <c r="V37" s="69"/>
      <c r="W37" s="33"/>
      <c r="X37" s="59"/>
      <c r="Y37" s="64"/>
      <c r="Z37" s="69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9"/>
      <c r="U38" s="64"/>
      <c r="V38" s="69"/>
      <c r="W38" s="33"/>
      <c r="X38" s="59"/>
      <c r="Y38" s="64"/>
      <c r="Z38" s="69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8"/>
      <c r="U39" s="67"/>
      <c r="V39" s="68"/>
      <c r="W39" s="33"/>
      <c r="X39" s="58"/>
      <c r="Y39" s="67"/>
      <c r="Z39" s="68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3"/>
      <c r="U40" s="74"/>
      <c r="V40" s="75"/>
      <c r="W40" s="33"/>
      <c r="X40" s="73"/>
      <c r="Y40" s="74"/>
      <c r="Z40" s="75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9"/>
      <c r="U41" s="64"/>
      <c r="V41" s="69"/>
      <c r="W41" s="33"/>
      <c r="X41" s="73"/>
      <c r="Y41" s="74"/>
      <c r="Z41" s="75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60"/>
      <c r="U42" s="62"/>
      <c r="V42" s="70"/>
      <c r="W42" s="33"/>
      <c r="X42" s="76"/>
      <c r="Y42" s="77"/>
      <c r="Z42" s="78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U85"/>
  <sheetViews>
    <sheetView zoomScale="90" zoomScaleNormal="90" workbookViewId="0">
      <selection activeCell="X13" sqref="X13"/>
    </sheetView>
  </sheetViews>
  <sheetFormatPr defaultRowHeight="15"/>
  <cols>
    <col min="1" max="1" width="3.85546875" style="3" customWidth="1"/>
    <col min="2" max="2" width="30.85546875" customWidth="1"/>
    <col min="3" max="3" width="12.85546875" bestFit="1" customWidth="1"/>
    <col min="4" max="5" width="12.85546875" style="249" customWidth="1"/>
    <col min="6" max="6" width="12.85546875" bestFit="1" customWidth="1"/>
    <col min="7" max="7" width="10.85546875" customWidth="1"/>
    <col min="8" max="8" width="9.7109375" style="249" customWidth="1"/>
    <col min="9" max="9" width="9.28515625" bestFit="1" customWidth="1"/>
    <col min="10" max="10" width="9.28515625" style="249" customWidth="1"/>
    <col min="11" max="11" width="9.28515625" bestFit="1" customWidth="1"/>
    <col min="12" max="13" width="14.85546875" style="3" bestFit="1" customWidth="1"/>
    <col min="14" max="14" width="12.140625" style="3" bestFit="1" customWidth="1"/>
    <col min="15" max="47" width="9.140625" style="3"/>
  </cols>
  <sheetData>
    <row r="1" spans="1:47" s="3" customFormat="1">
      <c r="B1" s="6">
        <v>2015</v>
      </c>
    </row>
    <row r="2" spans="1:47" s="3" customFormat="1" ht="15.75" thickBot="1"/>
    <row r="3" spans="1:47" ht="15.75" thickBot="1">
      <c r="B3" s="604" t="s">
        <v>102</v>
      </c>
      <c r="C3" s="606" t="s">
        <v>100</v>
      </c>
      <c r="D3" s="595"/>
      <c r="E3" s="595"/>
      <c r="F3" s="595"/>
      <c r="G3" s="604" t="s">
        <v>358</v>
      </c>
      <c r="H3" s="604" t="s">
        <v>323</v>
      </c>
      <c r="I3" s="606" t="s">
        <v>101</v>
      </c>
      <c r="J3" s="595"/>
      <c r="K3" s="596"/>
    </row>
    <row r="4" spans="1:47" ht="15.75" customHeight="1">
      <c r="B4" s="605"/>
      <c r="C4" s="48">
        <v>1990</v>
      </c>
      <c r="D4" s="48">
        <v>2013</v>
      </c>
      <c r="E4" s="48">
        <v>2014</v>
      </c>
      <c r="F4" s="48">
        <v>2015</v>
      </c>
      <c r="G4" s="605"/>
      <c r="H4" s="605"/>
      <c r="I4" s="48">
        <v>1990</v>
      </c>
      <c r="J4" s="48">
        <v>2013</v>
      </c>
      <c r="K4" s="54">
        <v>2015</v>
      </c>
    </row>
    <row r="5" spans="1:47">
      <c r="B5" s="55" t="s">
        <v>0</v>
      </c>
      <c r="C5" s="247">
        <v>1777035</v>
      </c>
      <c r="D5" s="467">
        <v>1555853</v>
      </c>
      <c r="E5" s="467">
        <v>1316260</v>
      </c>
      <c r="F5" s="516">
        <v>1335603</v>
      </c>
      <c r="G5" s="517">
        <v>-0.14156221699607863</v>
      </c>
      <c r="H5" s="517">
        <v>1.4695424916050026E-2</v>
      </c>
      <c r="I5" s="52">
        <v>0.36838253814093824</v>
      </c>
      <c r="J5" s="469">
        <v>0.35754094299532718</v>
      </c>
      <c r="K5" s="525">
        <v>0.31348967253828658</v>
      </c>
    </row>
    <row r="6" spans="1:47">
      <c r="B6" s="55" t="s">
        <v>54</v>
      </c>
      <c r="C6" s="247">
        <v>583207</v>
      </c>
      <c r="D6" s="467">
        <v>1114007</v>
      </c>
      <c r="E6" s="467">
        <v>1027686</v>
      </c>
      <c r="F6" s="516">
        <v>1054596</v>
      </c>
      <c r="G6" s="517">
        <v>-5.3330903665775864E-2</v>
      </c>
      <c r="H6" s="517">
        <v>2.6185040956089756E-2</v>
      </c>
      <c r="I6" s="52">
        <v>0.12089985561430258</v>
      </c>
      <c r="J6" s="469">
        <v>0.25600304995613044</v>
      </c>
      <c r="K6" s="525">
        <v>0.24753235407541527</v>
      </c>
    </row>
    <row r="7" spans="1:47">
      <c r="B7" s="55" t="s">
        <v>42</v>
      </c>
      <c r="C7" s="247">
        <v>46541</v>
      </c>
      <c r="D7" s="467">
        <v>33413</v>
      </c>
      <c r="E7" s="467">
        <v>29702</v>
      </c>
      <c r="F7" s="516">
        <v>26838</v>
      </c>
      <c r="G7" s="517">
        <v>-0.19677969652530447</v>
      </c>
      <c r="H7" s="517">
        <v>-9.6424483199784472E-2</v>
      </c>
      <c r="I7" s="52">
        <v>9.6480326541781153E-3</v>
      </c>
      <c r="J7" s="469">
        <v>7.6784346132332979E-3</v>
      </c>
      <c r="K7" s="525">
        <v>6.2993537986830925E-3</v>
      </c>
    </row>
    <row r="8" spans="1:47">
      <c r="B8" s="55" t="s">
        <v>46</v>
      </c>
      <c r="C8" s="247">
        <v>455476</v>
      </c>
      <c r="D8" s="467">
        <v>941650</v>
      </c>
      <c r="E8" s="467">
        <v>981307</v>
      </c>
      <c r="F8" s="516">
        <v>1014791</v>
      </c>
      <c r="G8" s="517">
        <v>7.7673233154569088E-2</v>
      </c>
      <c r="H8" s="517">
        <v>3.4121839546645383E-2</v>
      </c>
      <c r="I8" s="52">
        <v>9.4420990550147854E-2</v>
      </c>
      <c r="J8" s="469">
        <v>0.21639475514174528</v>
      </c>
      <c r="K8" s="525">
        <v>0.23818941578058778</v>
      </c>
    </row>
    <row r="9" spans="1:47">
      <c r="B9" s="55" t="s">
        <v>71</v>
      </c>
      <c r="C9" s="247">
        <v>118779</v>
      </c>
      <c r="D9" s="467">
        <v>66053</v>
      </c>
      <c r="E9" s="467">
        <v>66725</v>
      </c>
      <c r="F9" s="516">
        <v>64502</v>
      </c>
      <c r="G9" s="517">
        <v>-2.3481143929874548E-2</v>
      </c>
      <c r="H9" s="517">
        <v>-3.3315848632446632E-2</v>
      </c>
      <c r="I9" s="52">
        <v>2.4623099431267538E-2</v>
      </c>
      <c r="J9" s="469">
        <v>1.5179230883425585E-2</v>
      </c>
      <c r="K9" s="525">
        <v>1.5139761484561325E-2</v>
      </c>
    </row>
    <row r="10" spans="1:47" s="514" customFormat="1">
      <c r="A10" s="515"/>
      <c r="B10" s="56" t="s">
        <v>360</v>
      </c>
      <c r="C10" s="247">
        <v>0</v>
      </c>
      <c r="D10" s="468">
        <v>114480</v>
      </c>
      <c r="E10" s="468">
        <v>128437</v>
      </c>
      <c r="F10" s="518">
        <v>141806</v>
      </c>
      <c r="G10" s="519">
        <v>0.23869671558350802</v>
      </c>
      <c r="H10" s="517">
        <v>0.10408994292921814</v>
      </c>
      <c r="I10" s="52">
        <v>0</v>
      </c>
      <c r="J10" s="469">
        <v>2.6307939859424416E-2</v>
      </c>
      <c r="K10" s="525">
        <v>3.3284379043745982E-2</v>
      </c>
      <c r="L10" s="515"/>
      <c r="M10" s="515"/>
      <c r="N10" s="515"/>
      <c r="O10" s="515"/>
      <c r="P10" s="515"/>
      <c r="Q10" s="515"/>
      <c r="R10" s="515"/>
      <c r="S10" s="515"/>
      <c r="T10" s="515"/>
      <c r="U10" s="515"/>
      <c r="V10" s="515"/>
      <c r="W10" s="515"/>
      <c r="X10" s="515"/>
      <c r="Y10" s="515"/>
      <c r="Z10" s="515"/>
      <c r="AA10" s="515"/>
      <c r="AB10" s="515"/>
      <c r="AC10" s="515"/>
      <c r="AD10" s="515"/>
      <c r="AE10" s="515"/>
      <c r="AF10" s="515"/>
      <c r="AG10" s="515"/>
      <c r="AH10" s="515"/>
      <c r="AI10" s="515"/>
      <c r="AJ10" s="515"/>
      <c r="AK10" s="515"/>
      <c r="AL10" s="515"/>
      <c r="AM10" s="515"/>
      <c r="AN10" s="515"/>
      <c r="AO10" s="515"/>
      <c r="AP10" s="515"/>
      <c r="AQ10" s="515"/>
      <c r="AR10" s="515"/>
      <c r="AS10" s="515"/>
      <c r="AT10" s="515"/>
      <c r="AU10" s="515"/>
    </row>
    <row r="11" spans="1:47">
      <c r="B11" s="56" t="s">
        <v>11</v>
      </c>
      <c r="C11" s="247">
        <v>1442928</v>
      </c>
      <c r="D11" s="468">
        <v>513222</v>
      </c>
      <c r="E11" s="468">
        <v>599911</v>
      </c>
      <c r="F11" s="518">
        <v>610393</v>
      </c>
      <c r="G11" s="519">
        <v>0.1893352194566873</v>
      </c>
      <c r="H11" s="517">
        <v>1.7472591767778933E-2</v>
      </c>
      <c r="I11" s="52">
        <v>0.29912155866070606</v>
      </c>
      <c r="J11" s="469">
        <v>0.11794036958886719</v>
      </c>
      <c r="K11" s="525">
        <v>0.14327004483342906</v>
      </c>
    </row>
    <row r="12" spans="1:47" s="514" customFormat="1">
      <c r="A12" s="515"/>
      <c r="B12" s="56" t="s">
        <v>361</v>
      </c>
      <c r="C12" s="247">
        <v>169</v>
      </c>
      <c r="D12" s="468">
        <v>97</v>
      </c>
      <c r="E12" s="468">
        <v>97</v>
      </c>
      <c r="F12" s="518">
        <v>110</v>
      </c>
      <c r="G12" s="519">
        <v>0.134020618556701</v>
      </c>
      <c r="H12" s="517">
        <v>0.134020618556701</v>
      </c>
      <c r="I12" s="52">
        <v>3.503400267626612E-5</v>
      </c>
      <c r="J12" s="469">
        <v>2.2290969307863106E-5</v>
      </c>
      <c r="K12" s="525">
        <v>2.5818947680719139E-5</v>
      </c>
      <c r="L12" s="515"/>
      <c r="M12" s="515"/>
      <c r="N12" s="515"/>
      <c r="O12" s="515"/>
      <c r="P12" s="515"/>
      <c r="Q12" s="515"/>
      <c r="R12" s="515"/>
      <c r="S12" s="515"/>
      <c r="T12" s="515"/>
      <c r="U12" s="515"/>
      <c r="V12" s="515"/>
      <c r="W12" s="515"/>
      <c r="X12" s="515"/>
      <c r="Y12" s="515"/>
      <c r="Z12" s="515"/>
      <c r="AA12" s="515"/>
      <c r="AB12" s="515"/>
      <c r="AC12" s="515"/>
      <c r="AD12" s="515"/>
      <c r="AE12" s="515"/>
      <c r="AF12" s="515"/>
      <c r="AG12" s="515"/>
      <c r="AH12" s="515"/>
      <c r="AI12" s="515"/>
      <c r="AJ12" s="515"/>
      <c r="AK12" s="515"/>
      <c r="AL12" s="515"/>
      <c r="AM12" s="515"/>
      <c r="AN12" s="515"/>
      <c r="AO12" s="515"/>
      <c r="AP12" s="515"/>
      <c r="AQ12" s="515"/>
      <c r="AR12" s="515"/>
      <c r="AS12" s="515"/>
      <c r="AT12" s="515"/>
      <c r="AU12" s="515"/>
    </row>
    <row r="13" spans="1:47">
      <c r="B13" s="56" t="s">
        <v>4</v>
      </c>
      <c r="C13" s="247">
        <v>390686</v>
      </c>
      <c r="D13" s="468">
        <v>16741</v>
      </c>
      <c r="E13" s="468">
        <v>16483</v>
      </c>
      <c r="F13" s="518">
        <v>16937</v>
      </c>
      <c r="G13" s="519">
        <v>1.1707783286541984E-2</v>
      </c>
      <c r="H13" s="517">
        <v>2.7543529697263924E-2</v>
      </c>
      <c r="I13" s="52">
        <v>8.0989907512305948E-2</v>
      </c>
      <c r="J13" s="469">
        <v>3.8471455379684148E-3</v>
      </c>
      <c r="K13" s="525">
        <v>3.9754137897121825E-3</v>
      </c>
    </row>
    <row r="14" spans="1:47" ht="15.75" thickBot="1">
      <c r="B14" s="56" t="s">
        <v>124</v>
      </c>
      <c r="C14" s="247">
        <v>9064</v>
      </c>
      <c r="D14" s="468">
        <v>-3978</v>
      </c>
      <c r="E14" s="468">
        <v>-5028</v>
      </c>
      <c r="F14" s="518">
        <v>-5139</v>
      </c>
      <c r="G14" s="519">
        <v>0.29185520361990958</v>
      </c>
      <c r="H14" s="517">
        <v>2.2076372315035897E-2</v>
      </c>
      <c r="I14" s="53">
        <v>1.8789834334773734E-3</v>
      </c>
      <c r="J14" s="469">
        <v>-9.1415954542968482E-4</v>
      </c>
      <c r="K14" s="527">
        <v>-1.2062142921019604E-3</v>
      </c>
    </row>
    <row r="15" spans="1:47" ht="15.75" thickBot="1">
      <c r="B15" s="49" t="s">
        <v>97</v>
      </c>
      <c r="C15" s="476">
        <v>4823885</v>
      </c>
      <c r="D15" s="477">
        <v>4351538</v>
      </c>
      <c r="E15" s="477">
        <v>4161580</v>
      </c>
      <c r="F15" s="520">
        <v>4260437</v>
      </c>
      <c r="G15" s="521">
        <v>-0.1168037795262532</v>
      </c>
      <c r="H15" s="521">
        <v>-2.0935356648614789E-2</v>
      </c>
      <c r="I15" s="478">
        <v>1</v>
      </c>
      <c r="J15" s="478">
        <v>0.99999999999999989</v>
      </c>
      <c r="K15" s="528">
        <v>0.99999999999999989</v>
      </c>
    </row>
    <row r="16" spans="1:47" s="3" customFormat="1" ht="15.75" customHeight="1">
      <c r="F16" s="459"/>
    </row>
    <row r="17" spans="1:47" s="3" customFormat="1" ht="15.75" thickBot="1">
      <c r="F17" s="459"/>
    </row>
    <row r="18" spans="1:47" ht="15.75" thickBot="1">
      <c r="B18" s="604" t="s">
        <v>99</v>
      </c>
      <c r="C18" s="606" t="s">
        <v>100</v>
      </c>
      <c r="D18" s="595"/>
      <c r="E18" s="595"/>
      <c r="F18" s="607"/>
      <c r="G18" s="604" t="s">
        <v>358</v>
      </c>
      <c r="H18" s="604" t="s">
        <v>323</v>
      </c>
      <c r="I18" s="606" t="s">
        <v>101</v>
      </c>
      <c r="J18" s="595"/>
      <c r="K18" s="596"/>
    </row>
    <row r="19" spans="1:47">
      <c r="B19" s="605"/>
      <c r="C19" s="48">
        <v>1990</v>
      </c>
      <c r="D19" s="48">
        <v>2013</v>
      </c>
      <c r="E19" s="48">
        <v>2014</v>
      </c>
      <c r="F19" s="54">
        <v>2015</v>
      </c>
      <c r="G19" s="605"/>
      <c r="H19" s="605"/>
      <c r="I19" s="48">
        <v>1990</v>
      </c>
      <c r="J19" s="48">
        <v>2013</v>
      </c>
      <c r="K19" s="54">
        <v>2014</v>
      </c>
    </row>
    <row r="20" spans="1:47">
      <c r="B20" s="55" t="s">
        <v>80</v>
      </c>
      <c r="C20" s="508">
        <v>183951</v>
      </c>
      <c r="D20" s="508">
        <v>394350</v>
      </c>
      <c r="E20" s="508">
        <v>348252</v>
      </c>
      <c r="F20" s="522">
        <v>346184</v>
      </c>
      <c r="G20" s="517">
        <v>-0.12214023075947766</v>
      </c>
      <c r="H20" s="50">
        <v>-0.12214023075947766</v>
      </c>
      <c r="I20" s="52">
        <v>4.1549908181865408E-2</v>
      </c>
      <c r="J20" s="469">
        <v>9.083132253722391E-2</v>
      </c>
      <c r="K20" s="525">
        <v>8.1413260297889409E-2</v>
      </c>
    </row>
    <row r="21" spans="1:47">
      <c r="B21" s="55" t="s">
        <v>79</v>
      </c>
      <c r="C21" s="508">
        <v>14616</v>
      </c>
      <c r="D21" s="508">
        <v>0</v>
      </c>
      <c r="E21" s="509">
        <v>0</v>
      </c>
      <c r="F21" s="522">
        <v>0</v>
      </c>
      <c r="G21" s="517">
        <v>1</v>
      </c>
      <c r="H21" s="50">
        <v>0</v>
      </c>
      <c r="I21" s="52">
        <v>3.3013870975756852E-3</v>
      </c>
      <c r="J21" s="469">
        <v>0</v>
      </c>
      <c r="K21" s="525">
        <v>0</v>
      </c>
    </row>
    <row r="22" spans="1:47">
      <c r="B22" s="55" t="s">
        <v>78</v>
      </c>
      <c r="C22" s="508">
        <v>58461</v>
      </c>
      <c r="D22" s="508">
        <v>0</v>
      </c>
      <c r="E22" s="510">
        <v>0</v>
      </c>
      <c r="F22" s="522">
        <v>0</v>
      </c>
      <c r="G22" s="517">
        <v>1</v>
      </c>
      <c r="H22" s="50">
        <v>0</v>
      </c>
      <c r="I22" s="52">
        <v>1.3204870765693221E-2</v>
      </c>
      <c r="J22" s="469">
        <v>0</v>
      </c>
      <c r="K22" s="525">
        <v>0</v>
      </c>
    </row>
    <row r="23" spans="1:47">
      <c r="B23" s="55" t="s">
        <v>83</v>
      </c>
      <c r="C23" s="508">
        <v>0</v>
      </c>
      <c r="D23" s="508">
        <v>56208</v>
      </c>
      <c r="E23" s="508">
        <v>55972</v>
      </c>
      <c r="F23" s="522">
        <v>59215</v>
      </c>
      <c r="G23" s="517">
        <v>5.3497722744093368E-2</v>
      </c>
      <c r="H23" s="50">
        <v>5.3497722744093368E-2</v>
      </c>
      <c r="I23" s="52">
        <v>0</v>
      </c>
      <c r="J23" s="469">
        <v>1.2946486565670804E-2</v>
      </c>
      <c r="K23" s="525">
        <v>1.3925791511275858E-2</v>
      </c>
    </row>
    <row r="24" spans="1:47">
      <c r="B24" s="55" t="s">
        <v>82</v>
      </c>
      <c r="C24" s="508">
        <v>0</v>
      </c>
      <c r="D24" s="508">
        <v>8817</v>
      </c>
      <c r="E24" s="508">
        <v>9661</v>
      </c>
      <c r="F24" s="522">
        <v>9008</v>
      </c>
      <c r="G24" s="517">
        <v>2.1662697062492908E-2</v>
      </c>
      <c r="H24" s="50">
        <v>2.1662697062492908E-2</v>
      </c>
      <c r="I24" s="52">
        <v>0</v>
      </c>
      <c r="J24" s="469">
        <v>2.0308349709920203E-3</v>
      </c>
      <c r="K24" s="525">
        <v>2.1184417788326086E-3</v>
      </c>
    </row>
    <row r="25" spans="1:47">
      <c r="B25" s="55" t="s">
        <v>84</v>
      </c>
      <c r="C25" s="508">
        <v>168662</v>
      </c>
      <c r="D25" s="508">
        <v>511866</v>
      </c>
      <c r="E25" s="508">
        <v>531282</v>
      </c>
      <c r="F25" s="522">
        <v>554497</v>
      </c>
      <c r="G25" s="517">
        <v>8.3285469243903787E-2</v>
      </c>
      <c r="H25" s="50">
        <v>8.3285469243903787E-2</v>
      </c>
      <c r="I25" s="52">
        <v>3.8096507296887669E-2</v>
      </c>
      <c r="J25" s="469">
        <v>0.11789898755379398</v>
      </c>
      <c r="K25" s="525">
        <v>0.13040293195352409</v>
      </c>
    </row>
    <row r="26" spans="1:47">
      <c r="B26" s="55" t="s">
        <v>85</v>
      </c>
      <c r="C26" s="508">
        <v>292005</v>
      </c>
      <c r="D26" s="508">
        <v>384160</v>
      </c>
      <c r="E26" s="508">
        <v>402530</v>
      </c>
      <c r="F26" s="522">
        <v>410134</v>
      </c>
      <c r="G26" s="517">
        <v>6.7612453144523021E-2</v>
      </c>
      <c r="H26" s="50">
        <v>6.7612453144523021E-2</v>
      </c>
      <c r="I26" s="52">
        <v>6.5956591367514222E-2</v>
      </c>
      <c r="J26" s="469">
        <v>8.8484242084189021E-2</v>
      </c>
      <c r="K26" s="525">
        <v>9.6452597748638222E-2</v>
      </c>
    </row>
    <row r="27" spans="1:47" s="514" customFormat="1">
      <c r="A27" s="515"/>
      <c r="B27" s="55" t="s">
        <v>362</v>
      </c>
      <c r="C27" s="508">
        <v>0</v>
      </c>
      <c r="D27" s="508">
        <v>114480</v>
      </c>
      <c r="E27" s="508">
        <v>128437</v>
      </c>
      <c r="F27" s="522">
        <v>141806</v>
      </c>
      <c r="G27" s="517">
        <v>0.23869671558350802</v>
      </c>
      <c r="H27" s="50">
        <v>0.23869671558350802</v>
      </c>
      <c r="I27" s="52">
        <v>0</v>
      </c>
      <c r="J27" s="469">
        <v>2.6368377847245831E-2</v>
      </c>
      <c r="K27" s="525">
        <v>3.3348995880232782E-2</v>
      </c>
      <c r="L27" s="515"/>
      <c r="M27" s="515"/>
      <c r="N27" s="515"/>
      <c r="O27" s="515"/>
      <c r="P27" s="515"/>
      <c r="Q27" s="515"/>
      <c r="R27" s="515"/>
      <c r="S27" s="515"/>
      <c r="T27" s="515"/>
      <c r="U27" s="515"/>
      <c r="V27" s="515"/>
      <c r="W27" s="515"/>
      <c r="X27" s="515"/>
      <c r="Y27" s="515"/>
      <c r="Z27" s="515"/>
      <c r="AA27" s="515"/>
      <c r="AB27" s="515"/>
      <c r="AC27" s="515"/>
      <c r="AD27" s="515"/>
      <c r="AE27" s="515"/>
      <c r="AF27" s="515"/>
      <c r="AG27" s="515"/>
      <c r="AH27" s="515"/>
      <c r="AI27" s="515"/>
      <c r="AJ27" s="515"/>
      <c r="AK27" s="515"/>
      <c r="AL27" s="515"/>
      <c r="AM27" s="515"/>
      <c r="AN27" s="515"/>
      <c r="AO27" s="515"/>
      <c r="AP27" s="515"/>
      <c r="AQ27" s="515"/>
      <c r="AR27" s="515"/>
      <c r="AS27" s="515"/>
      <c r="AT27" s="515"/>
      <c r="AU27" s="515"/>
    </row>
    <row r="28" spans="1:47">
      <c r="B28" s="55" t="s">
        <v>217</v>
      </c>
      <c r="C28" s="508">
        <v>226256</v>
      </c>
      <c r="D28" s="508">
        <v>33579</v>
      </c>
      <c r="E28" s="508">
        <v>33261</v>
      </c>
      <c r="F28" s="522">
        <v>32153</v>
      </c>
      <c r="G28" s="517">
        <v>-4.2467018076774221E-2</v>
      </c>
      <c r="H28" s="50">
        <v>-4.2467018076774221E-2</v>
      </c>
      <c r="I28" s="52">
        <v>5.1105544550429954E-2</v>
      </c>
      <c r="J28" s="469">
        <v>7.7343095713894808E-3</v>
      </c>
      <c r="K28" s="525">
        <v>7.5615295864570236E-3</v>
      </c>
    </row>
    <row r="29" spans="1:47" s="72" customFormat="1">
      <c r="A29" s="3"/>
      <c r="B29" s="55" t="s">
        <v>218</v>
      </c>
      <c r="C29" s="508">
        <v>561871</v>
      </c>
      <c r="D29" s="508">
        <v>270881</v>
      </c>
      <c r="E29" s="508">
        <v>224563</v>
      </c>
      <c r="F29" s="522">
        <v>219519</v>
      </c>
      <c r="G29" s="517">
        <v>-0.18961093616754221</v>
      </c>
      <c r="H29" s="50">
        <v>-0.18961093616754221</v>
      </c>
      <c r="I29" s="52">
        <v>0.12691253899164939</v>
      </c>
      <c r="J29" s="469">
        <v>6.2392492659327378E-2</v>
      </c>
      <c r="K29" s="525">
        <v>5.162502451682454E-2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s="514" customFormat="1">
      <c r="A30" s="515"/>
      <c r="B30" s="55" t="s">
        <v>219</v>
      </c>
      <c r="C30" s="508">
        <v>22009</v>
      </c>
      <c r="D30" s="508">
        <v>15815</v>
      </c>
      <c r="E30" s="508">
        <v>11178</v>
      </c>
      <c r="F30" s="522">
        <v>15331</v>
      </c>
      <c r="G30" s="517">
        <v>-3.0603857097692089E-2</v>
      </c>
      <c r="H30" s="50">
        <v>-3.0603857097692089E-2</v>
      </c>
      <c r="I30" s="52">
        <v>4.9712800102998944E-3</v>
      </c>
      <c r="J30" s="469">
        <v>3.6426965029192244E-3</v>
      </c>
      <c r="K30" s="525">
        <v>3.6054430407729491E-3</v>
      </c>
      <c r="L30" s="515"/>
      <c r="M30" s="515"/>
      <c r="N30" s="515"/>
      <c r="O30" s="515"/>
      <c r="P30" s="515"/>
      <c r="Q30" s="515"/>
      <c r="R30" s="515"/>
      <c r="S30" s="515"/>
      <c r="T30" s="515"/>
      <c r="U30" s="515"/>
      <c r="V30" s="515"/>
      <c r="W30" s="515"/>
      <c r="X30" s="515"/>
      <c r="Y30" s="515"/>
      <c r="Z30" s="515"/>
      <c r="AA30" s="515"/>
      <c r="AB30" s="515"/>
      <c r="AC30" s="515"/>
      <c r="AD30" s="515"/>
      <c r="AE30" s="515"/>
      <c r="AF30" s="515"/>
      <c r="AG30" s="515"/>
      <c r="AH30" s="515"/>
      <c r="AI30" s="515"/>
      <c r="AJ30" s="515"/>
      <c r="AK30" s="515"/>
      <c r="AL30" s="515"/>
      <c r="AM30" s="515"/>
      <c r="AN30" s="515"/>
      <c r="AO30" s="515"/>
      <c r="AP30" s="515"/>
      <c r="AQ30" s="515"/>
      <c r="AR30" s="515"/>
      <c r="AS30" s="515"/>
      <c r="AT30" s="515"/>
      <c r="AU30" s="515"/>
    </row>
    <row r="31" spans="1:47">
      <c r="B31" s="55" t="s">
        <v>77</v>
      </c>
      <c r="C31" s="508">
        <v>1579399</v>
      </c>
      <c r="D31" s="508">
        <v>1768917</v>
      </c>
      <c r="E31" s="508">
        <v>1756244</v>
      </c>
      <c r="F31" s="522">
        <v>1783381</v>
      </c>
      <c r="G31" s="517">
        <v>8.1767544774571377E-3</v>
      </c>
      <c r="H31" s="50">
        <v>8.1767544774571377E-3</v>
      </c>
      <c r="I31" s="52">
        <v>0.35674654354980428</v>
      </c>
      <c r="J31" s="469">
        <v>0.40743773442013065</v>
      </c>
      <c r="K31" s="525">
        <v>0.41940373201335218</v>
      </c>
    </row>
    <row r="32" spans="1:47" ht="15.75" thickBot="1">
      <c r="B32" s="55" t="s">
        <v>81</v>
      </c>
      <c r="C32" s="511">
        <v>1320000</v>
      </c>
      <c r="D32" s="511">
        <v>782491</v>
      </c>
      <c r="E32" s="508">
        <v>652343</v>
      </c>
      <c r="F32" s="522">
        <v>680954</v>
      </c>
      <c r="G32" s="517">
        <v>-0.12976123687045604</v>
      </c>
      <c r="H32" s="50">
        <v>-0.12976123687045604</v>
      </c>
      <c r="I32" s="52">
        <v>0.29815482818828026</v>
      </c>
      <c r="J32" s="469">
        <v>0.18023251528711773</v>
      </c>
      <c r="K32" s="525">
        <v>0.16014225167220031</v>
      </c>
    </row>
    <row r="33" spans="2:11" ht="15.75" thickBot="1">
      <c r="B33" s="49" t="s">
        <v>97</v>
      </c>
      <c r="C33" s="51">
        <v>4427230</v>
      </c>
      <c r="D33" s="479">
        <v>4341564</v>
      </c>
      <c r="E33" s="479">
        <v>4153723</v>
      </c>
      <c r="F33" s="520">
        <v>4252182</v>
      </c>
      <c r="G33" s="523">
        <v>-3.953894421568338E-2</v>
      </c>
      <c r="H33" s="473">
        <v>-2.0587511781468559E-2</v>
      </c>
      <c r="I33" s="480">
        <v>1</v>
      </c>
      <c r="J33" s="480">
        <v>1</v>
      </c>
      <c r="K33" s="526">
        <v>0.99999999999999989</v>
      </c>
    </row>
    <row r="34" spans="2:11" ht="15.75" thickBot="1">
      <c r="B34" s="604" t="s">
        <v>123</v>
      </c>
      <c r="C34" s="606" t="s">
        <v>100</v>
      </c>
      <c r="D34" s="595"/>
      <c r="E34" s="595"/>
      <c r="F34" s="607"/>
      <c r="G34" s="604" t="s">
        <v>358</v>
      </c>
      <c r="H34" s="604" t="s">
        <v>323</v>
      </c>
      <c r="I34" s="84"/>
      <c r="J34" s="462"/>
      <c r="K34" s="85"/>
    </row>
    <row r="35" spans="2:11" ht="15.75" thickBot="1">
      <c r="B35" s="605"/>
      <c r="C35" s="48">
        <v>1990</v>
      </c>
      <c r="D35" s="48">
        <v>2013</v>
      </c>
      <c r="E35" s="48">
        <v>2014</v>
      </c>
      <c r="F35" s="54">
        <v>2015</v>
      </c>
      <c r="G35" s="605"/>
      <c r="H35" s="605"/>
      <c r="I35" s="48"/>
      <c r="J35" s="48"/>
      <c r="K35" s="54"/>
    </row>
    <row r="36" spans="2:11" ht="15.75" thickBot="1">
      <c r="B36" s="49" t="s">
        <v>126</v>
      </c>
      <c r="C36" s="475">
        <v>396655</v>
      </c>
      <c r="D36" s="475">
        <v>9974</v>
      </c>
      <c r="E36" s="475">
        <v>7857</v>
      </c>
      <c r="F36" s="524">
        <v>8255</v>
      </c>
      <c r="G36" s="523">
        <v>-0.97918846352623812</v>
      </c>
      <c r="H36" s="474">
        <v>-0.17234810507319032</v>
      </c>
      <c r="I36" s="472"/>
      <c r="J36" s="470"/>
      <c r="K36" s="471"/>
    </row>
    <row r="37" spans="2:11" s="3" customFormat="1" ht="15.75" thickBot="1"/>
    <row r="38" spans="2:11" s="3" customFormat="1">
      <c r="B38" s="86" t="s">
        <v>127</v>
      </c>
      <c r="C38" s="484">
        <v>4823885</v>
      </c>
      <c r="D38" s="484">
        <v>4351538</v>
      </c>
      <c r="E38" s="484">
        <v>4161580</v>
      </c>
      <c r="F38" s="530">
        <v>4260437</v>
      </c>
      <c r="G38" s="114"/>
      <c r="H38" s="114"/>
      <c r="I38" s="114"/>
      <c r="J38" s="114"/>
      <c r="K38" s="437"/>
    </row>
    <row r="39" spans="2:11" s="3" customFormat="1" ht="15.75" thickBot="1">
      <c r="B39" s="118" t="s">
        <v>128</v>
      </c>
      <c r="C39" s="485">
        <v>7.5021539657853813</v>
      </c>
      <c r="D39" s="485">
        <v>6.8962567353407289</v>
      </c>
      <c r="E39" s="485">
        <v>6.5952139461172745</v>
      </c>
      <c r="F39" s="531">
        <v>6.7013396585813174</v>
      </c>
      <c r="G39" s="438"/>
      <c r="H39" s="438"/>
      <c r="I39" s="438"/>
      <c r="J39" s="438"/>
      <c r="K39" s="439"/>
    </row>
    <row r="40" spans="2:11" s="3" customFormat="1">
      <c r="B40" s="6" t="s">
        <v>363</v>
      </c>
      <c r="C40" s="515"/>
      <c r="D40" s="529">
        <v>-472347</v>
      </c>
      <c r="E40" s="529">
        <v>-662305</v>
      </c>
      <c r="F40" s="529">
        <v>-563448</v>
      </c>
    </row>
    <row r="41" spans="2:11" s="3" customFormat="1" ht="15.75" hidden="1" thickBot="1">
      <c r="B41" s="119" t="s">
        <v>129</v>
      </c>
      <c r="C41" s="486">
        <v>1475024</v>
      </c>
      <c r="D41" s="486"/>
      <c r="E41" s="486"/>
      <c r="F41" s="486" t="e">
        <f>SUM(#REF!,#REF!)</f>
        <v>#REF!</v>
      </c>
      <c r="G41" s="487" t="e">
        <f>(F41/C41)-1</f>
        <v>#REF!</v>
      </c>
      <c r="H41" s="488"/>
      <c r="I41" s="116"/>
      <c r="J41" s="116"/>
      <c r="K41" s="231"/>
    </row>
    <row r="42" spans="2:11" s="3" customFormat="1"/>
    <row r="43" spans="2:11" s="3" customFormat="1">
      <c r="C43" s="459"/>
      <c r="D43" s="459"/>
      <c r="E43" s="459"/>
    </row>
    <row r="44" spans="2:11" s="3" customFormat="1"/>
    <row r="45" spans="2:11" s="3" customFormat="1">
      <c r="B45" s="6"/>
      <c r="E45" s="459"/>
      <c r="F45" s="459"/>
    </row>
    <row r="46" spans="2:11" s="3" customFormat="1">
      <c r="C46" s="489"/>
      <c r="D46" s="489"/>
      <c r="E46" s="489"/>
      <c r="F46" s="489"/>
    </row>
    <row r="47" spans="2:11" s="3" customFormat="1">
      <c r="C47" s="490"/>
      <c r="D47" s="490"/>
      <c r="E47" s="490"/>
      <c r="F47" s="490"/>
    </row>
    <row r="48" spans="2:11" s="3" customFormat="1"/>
    <row r="49" spans="3:13" s="3" customFormat="1">
      <c r="C49" s="491"/>
      <c r="D49" s="491"/>
      <c r="E49" s="491"/>
      <c r="F49" s="466"/>
      <c r="M49" s="221"/>
    </row>
    <row r="50" spans="3:13" s="3" customFormat="1">
      <c r="C50" s="492"/>
      <c r="D50" s="492"/>
      <c r="E50" s="492"/>
      <c r="M50" s="458"/>
    </row>
    <row r="51" spans="3:13" s="3" customFormat="1">
      <c r="C51" s="459"/>
      <c r="D51" s="459"/>
      <c r="E51" s="459"/>
      <c r="M51" s="223"/>
    </row>
    <row r="52" spans="3:13" s="3" customFormat="1">
      <c r="C52" s="493"/>
      <c r="D52" s="493"/>
      <c r="E52" s="493"/>
      <c r="F52" s="494"/>
      <c r="M52" s="458"/>
    </row>
    <row r="53" spans="3:13" s="3" customFormat="1">
      <c r="F53" s="495"/>
    </row>
    <row r="54" spans="3:13" s="3" customFormat="1">
      <c r="C54" s="459"/>
      <c r="D54" s="459"/>
      <c r="E54" s="459"/>
      <c r="M54" s="458"/>
    </row>
    <row r="55" spans="3:13" s="3" customFormat="1"/>
    <row r="56" spans="3:13" s="3" customFormat="1">
      <c r="C56" s="459"/>
      <c r="D56" s="459"/>
      <c r="E56" s="459"/>
    </row>
    <row r="57" spans="3:13" s="3" customFormat="1">
      <c r="C57" s="496"/>
      <c r="D57" s="496"/>
      <c r="E57" s="496"/>
      <c r="F57" s="497"/>
    </row>
    <row r="58" spans="3:13" s="3" customFormat="1"/>
    <row r="59" spans="3:13" s="3" customFormat="1"/>
    <row r="60" spans="3:13" s="3" customFormat="1"/>
    <row r="61" spans="3:13" s="3" customFormat="1"/>
    <row r="62" spans="3:13" s="3" customFormat="1"/>
    <row r="63" spans="3:13" s="3" customFormat="1"/>
    <row r="64" spans="3:13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</sheetData>
  <mergeCells count="14">
    <mergeCell ref="B3:B4"/>
    <mergeCell ref="G3:G4"/>
    <mergeCell ref="H3:H4"/>
    <mergeCell ref="I18:K18"/>
    <mergeCell ref="C34:F34"/>
    <mergeCell ref="G34:G35"/>
    <mergeCell ref="H34:H35"/>
    <mergeCell ref="C3:F3"/>
    <mergeCell ref="I3:K3"/>
    <mergeCell ref="B18:B19"/>
    <mergeCell ref="B34:B35"/>
    <mergeCell ref="G18:G19"/>
    <mergeCell ref="H18:H19"/>
    <mergeCell ref="C18:F18"/>
  </mergeCells>
  <dataValidations count="1">
    <dataValidation type="list" allowBlank="1" showInputMessage="1" showErrorMessage="1" sqref="B20:B32">
      <formula1>paliwa</formula1>
    </dataValidation>
  </dataValidations>
  <pageMargins left="0.25" right="0.25" top="0.75" bottom="0.75" header="0.3" footer="0.3"/>
  <pageSetup paperSize="9" scale="80" orientation="landscape" r:id="rId1"/>
  <cellWatches>
    <cellWatch r="F33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U115"/>
  <sheetViews>
    <sheetView workbookViewId="0">
      <selection activeCell="C92" sqref="C92:F96"/>
    </sheetView>
  </sheetViews>
  <sheetFormatPr defaultRowHeight="15"/>
  <cols>
    <col min="1" max="1" width="5.28515625" style="3" customWidth="1"/>
    <col min="2" max="2" width="45.8554687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.85546875" style="3" customWidth="1"/>
    <col min="8" max="8" width="15.28515625" style="3" customWidth="1"/>
    <col min="9" max="10" width="12.140625" style="3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9" ht="21">
      <c r="A1" s="117" t="s">
        <v>59</v>
      </c>
      <c r="B1" s="117" t="s">
        <v>1</v>
      </c>
    </row>
    <row r="2" spans="1:19">
      <c r="B2" s="3" t="s">
        <v>348</v>
      </c>
    </row>
    <row r="3" spans="1:19" ht="15.75" thickBot="1"/>
    <row r="4" spans="1:19" ht="26.25" customHeight="1" thickBot="1">
      <c r="B4" s="22" t="s">
        <v>76</v>
      </c>
      <c r="C4" s="23" t="s">
        <v>3</v>
      </c>
      <c r="D4" s="24" t="s">
        <v>67</v>
      </c>
      <c r="E4" s="617" t="s">
        <v>130</v>
      </c>
      <c r="F4" s="616" t="s">
        <v>122</v>
      </c>
      <c r="G4" s="617"/>
      <c r="H4" s="617" t="s">
        <v>132</v>
      </c>
      <c r="I4" s="617"/>
      <c r="J4" s="502" t="s">
        <v>136</v>
      </c>
      <c r="K4" s="618" t="s">
        <v>133</v>
      </c>
      <c r="L4" s="616" t="s">
        <v>138</v>
      </c>
      <c r="M4" s="617"/>
      <c r="N4" s="618"/>
      <c r="O4" s="616" t="s">
        <v>137</v>
      </c>
      <c r="P4" s="617"/>
      <c r="Q4" s="617"/>
      <c r="R4" s="618"/>
      <c r="S4" s="501" t="s">
        <v>346</v>
      </c>
    </row>
    <row r="5" spans="1:19">
      <c r="B5" s="93"/>
      <c r="C5" s="29"/>
      <c r="D5" s="29"/>
      <c r="E5" s="619"/>
      <c r="F5" s="505" t="s">
        <v>131</v>
      </c>
      <c r="G5" s="503" t="s">
        <v>135</v>
      </c>
      <c r="H5" s="503" t="s">
        <v>131</v>
      </c>
      <c r="I5" s="503" t="s">
        <v>135</v>
      </c>
      <c r="J5" s="503"/>
      <c r="K5" s="620"/>
      <c r="L5" s="505" t="s">
        <v>134</v>
      </c>
      <c r="M5" s="503" t="s">
        <v>111</v>
      </c>
      <c r="N5" s="504" t="s">
        <v>125</v>
      </c>
      <c r="O5" s="505" t="s">
        <v>134</v>
      </c>
      <c r="P5" s="503" t="s">
        <v>111</v>
      </c>
      <c r="Q5" s="503" t="s">
        <v>125</v>
      </c>
      <c r="R5" s="110" t="s">
        <v>109</v>
      </c>
      <c r="S5" s="501"/>
    </row>
    <row r="6" spans="1:19">
      <c r="B6" s="20" t="s">
        <v>26</v>
      </c>
      <c r="C6" s="100" t="s">
        <v>46</v>
      </c>
      <c r="D6" s="101"/>
      <c r="E6" s="104"/>
      <c r="F6" s="108"/>
      <c r="G6" s="102"/>
      <c r="H6" s="102"/>
      <c r="I6" s="102"/>
      <c r="J6" s="104"/>
      <c r="K6" s="210" t="e">
        <f>SUM(K7,K15,K23)</f>
        <v>#REF!</v>
      </c>
      <c r="L6" s="206"/>
      <c r="M6" s="207"/>
      <c r="N6" s="210"/>
      <c r="O6" s="206" t="e">
        <f>SUM(O7,O15,O23)</f>
        <v>#REF!</v>
      </c>
      <c r="P6" s="207" t="e">
        <f>SUM(P7,P15,P23)</f>
        <v>#REF!</v>
      </c>
      <c r="Q6" s="208" t="e">
        <f>SUM(Q7,Q15,Q23)</f>
        <v>#REF!</v>
      </c>
      <c r="R6" s="209" t="e">
        <f>SUM(R7,R15,R23)</f>
        <v>#REF!</v>
      </c>
      <c r="S6" s="501"/>
    </row>
    <row r="7" spans="1:19">
      <c r="B7" s="20" t="s">
        <v>49</v>
      </c>
      <c r="C7" s="14"/>
      <c r="D7" s="101" t="s">
        <v>47</v>
      </c>
      <c r="E7" s="104"/>
      <c r="F7" s="108"/>
      <c r="G7" s="102"/>
      <c r="H7" s="102"/>
      <c r="I7" s="102"/>
      <c r="J7" s="104"/>
      <c r="K7" s="210" t="e">
        <f>SUM(K8:K14)</f>
        <v>#REF!</v>
      </c>
      <c r="L7" s="206"/>
      <c r="M7" s="207"/>
      <c r="N7" s="210"/>
      <c r="O7" s="206" t="e">
        <f>SUM(O8:O14)</f>
        <v>#REF!</v>
      </c>
      <c r="P7" s="207" t="e">
        <f>SUM(P8:P14)</f>
        <v>#REF!</v>
      </c>
      <c r="Q7" s="208" t="e">
        <f>SUM(Q8:Q14)</f>
        <v>#REF!</v>
      </c>
      <c r="R7" s="209" t="e">
        <f>SUM(R8:R14)</f>
        <v>#REF!</v>
      </c>
      <c r="S7" s="501"/>
    </row>
    <row r="8" spans="1:19">
      <c r="B8" s="97"/>
      <c r="C8" s="95"/>
      <c r="D8" s="95"/>
      <c r="E8" s="105" t="s">
        <v>85</v>
      </c>
      <c r="F8" s="451">
        <v>1.887</v>
      </c>
      <c r="G8" s="95" t="e">
        <f>VLOOKUP(E8,#REF!,2,FALSE)</f>
        <v>#REF!</v>
      </c>
      <c r="H8" s="95" t="e">
        <f>VLOOKUP(E8,#REF!,3,FALSE)</f>
        <v>#REF!</v>
      </c>
      <c r="I8" s="95" t="e">
        <f>VLOOKUP(E8,#REF!,4,FALSE)</f>
        <v>#REF!</v>
      </c>
      <c r="J8" s="105" t="e">
        <f>VLOOKUP(E8,#REF!,5,FALSE)</f>
        <v>#REF!</v>
      </c>
      <c r="K8" s="96" t="e">
        <f>F8*J8*H8</f>
        <v>#REF!</v>
      </c>
      <c r="L8" s="97" t="e">
        <f>VLOOKUP(E8,#REF!,7,FALSE)</f>
        <v>#REF!</v>
      </c>
      <c r="M8" s="95" t="e">
        <f>VLOOKUP(E8,#REF!,9,FALSE)</f>
        <v>#REF!</v>
      </c>
      <c r="N8" s="96" t="e">
        <f>VLOOKUP(E8,#REF!,11,FALSE)</f>
        <v>#REF!</v>
      </c>
      <c r="O8" s="97" t="e">
        <f>ROUND(K8*L8/1000,0)</f>
        <v>#REF!</v>
      </c>
      <c r="P8" s="95" t="e">
        <f>ROUND(M8*K8/1000,3)</f>
        <v>#REF!</v>
      </c>
      <c r="Q8" s="105" t="e">
        <f>ROUND(K8*N8/1000,3)</f>
        <v>#REF!</v>
      </c>
      <c r="R8" s="112" t="e">
        <f t="shared" ref="R8:R14" si="0">ROUND(O8+P8*GWP_CH4+Q8*GWP_N2O,0)</f>
        <v>#REF!</v>
      </c>
      <c r="S8" s="501">
        <v>1</v>
      </c>
    </row>
    <row r="9" spans="1:19">
      <c r="B9" s="97"/>
      <c r="C9" s="95"/>
      <c r="D9" s="95"/>
      <c r="E9" s="105" t="s">
        <v>84</v>
      </c>
      <c r="F9" s="451">
        <v>9.7499999999999996E-4</v>
      </c>
      <c r="G9" s="95" t="e">
        <f>VLOOKUP(E9,#REF!,2,FALSE)</f>
        <v>#REF!</v>
      </c>
      <c r="H9" s="95" t="e">
        <f>VLOOKUP(E9,#REF!,3,FALSE)</f>
        <v>#REF!</v>
      </c>
      <c r="I9" s="95" t="e">
        <f>VLOOKUP(E9,#REF!,4,FALSE)</f>
        <v>#REF!</v>
      </c>
      <c r="J9" s="105" t="e">
        <f>VLOOKUP(E9,#REF!,5,FALSE)</f>
        <v>#REF!</v>
      </c>
      <c r="K9" s="96" t="e">
        <f t="shared" ref="K9:K14" si="1">F9*J9*H9</f>
        <v>#REF!</v>
      </c>
      <c r="L9" s="97" t="e">
        <f>VLOOKUP(E9,#REF!,7,FALSE)</f>
        <v>#REF!</v>
      </c>
      <c r="M9" s="95" t="e">
        <f>VLOOKUP(E9,#REF!,9,FALSE)</f>
        <v>#REF!</v>
      </c>
      <c r="N9" s="96" t="e">
        <f>VLOOKUP(E9,#REF!,11,FALSE)</f>
        <v>#REF!</v>
      </c>
      <c r="O9" s="97" t="e">
        <f t="shared" ref="O9:O14" si="2">ROUND(K9*L9/1000,0)</f>
        <v>#REF!</v>
      </c>
      <c r="P9" s="95" t="e">
        <f t="shared" ref="P9:P14" si="3">ROUND(M9*K9/1000,3)</f>
        <v>#REF!</v>
      </c>
      <c r="Q9" s="105" t="e">
        <f t="shared" ref="Q9:Q14" si="4">ROUND(K9*N9/1000,3)</f>
        <v>#REF!</v>
      </c>
      <c r="R9" s="112" t="e">
        <f t="shared" si="0"/>
        <v>#REF!</v>
      </c>
      <c r="S9" s="501">
        <v>1</v>
      </c>
    </row>
    <row r="10" spans="1:19">
      <c r="B10" s="97"/>
      <c r="C10" s="95"/>
      <c r="D10" s="95"/>
      <c r="E10" s="105" t="s">
        <v>83</v>
      </c>
      <c r="F10" s="451"/>
      <c r="G10" s="95" t="e">
        <f>VLOOKUP(E10,#REF!,2,FALSE)</f>
        <v>#REF!</v>
      </c>
      <c r="H10" s="95" t="e">
        <f>VLOOKUP(E10,#REF!,3,FALSE)</f>
        <v>#REF!</v>
      </c>
      <c r="I10" s="95" t="e">
        <f>VLOOKUP(E10,#REF!,4,FALSE)</f>
        <v>#REF!</v>
      </c>
      <c r="J10" s="105" t="e">
        <f>VLOOKUP(E10,#REF!,5,FALSE)</f>
        <v>#REF!</v>
      </c>
      <c r="K10" s="96" t="e">
        <f t="shared" si="1"/>
        <v>#REF!</v>
      </c>
      <c r="L10" s="97" t="e">
        <f>VLOOKUP(E10,#REF!,7,FALSE)</f>
        <v>#REF!</v>
      </c>
      <c r="M10" s="95" t="e">
        <f>VLOOKUP(E10,#REF!,9,FALSE)</f>
        <v>#REF!</v>
      </c>
      <c r="N10" s="96" t="e">
        <f>VLOOKUP(E10,#REF!,11,FALSE)</f>
        <v>#REF!</v>
      </c>
      <c r="O10" s="97" t="e">
        <f t="shared" si="2"/>
        <v>#REF!</v>
      </c>
      <c r="P10" s="95" t="e">
        <f t="shared" si="3"/>
        <v>#REF!</v>
      </c>
      <c r="Q10" s="105" t="e">
        <f t="shared" si="4"/>
        <v>#REF!</v>
      </c>
      <c r="R10" s="112" t="e">
        <f t="shared" si="0"/>
        <v>#REF!</v>
      </c>
      <c r="S10" s="501">
        <v>1</v>
      </c>
    </row>
    <row r="11" spans="1:19">
      <c r="B11" s="97"/>
      <c r="C11" s="95"/>
      <c r="D11" s="95"/>
      <c r="E11" s="105" t="s">
        <v>80</v>
      </c>
      <c r="F11" s="451"/>
      <c r="G11" s="95" t="e">
        <f>VLOOKUP(E11,#REF!,2,FALSE)</f>
        <v>#REF!</v>
      </c>
      <c r="H11" s="95" t="e">
        <f>VLOOKUP(E11,#REF!,3,FALSE)</f>
        <v>#REF!</v>
      </c>
      <c r="I11" s="95" t="e">
        <f>VLOOKUP(E11,#REF!,4,FALSE)</f>
        <v>#REF!</v>
      </c>
      <c r="J11" s="105" t="e">
        <f>VLOOKUP(E11,#REF!,5,FALSE)</f>
        <v>#REF!</v>
      </c>
      <c r="K11" s="96" t="e">
        <f t="shared" si="1"/>
        <v>#REF!</v>
      </c>
      <c r="L11" s="97" t="e">
        <f>VLOOKUP(E11,#REF!,7,FALSE)</f>
        <v>#REF!</v>
      </c>
      <c r="M11" s="95" t="e">
        <f>VLOOKUP(E11,#REF!,9,FALSE)</f>
        <v>#REF!</v>
      </c>
      <c r="N11" s="96" t="e">
        <f>VLOOKUP(E11,#REF!,11,FALSE)</f>
        <v>#REF!</v>
      </c>
      <c r="O11" s="97" t="e">
        <f t="shared" si="2"/>
        <v>#REF!</v>
      </c>
      <c r="P11" s="95" t="e">
        <f t="shared" si="3"/>
        <v>#REF!</v>
      </c>
      <c r="Q11" s="105" t="e">
        <f t="shared" si="4"/>
        <v>#REF!</v>
      </c>
      <c r="R11" s="112" t="e">
        <f t="shared" si="0"/>
        <v>#REF!</v>
      </c>
      <c r="S11" s="501">
        <v>1</v>
      </c>
    </row>
    <row r="12" spans="1:19">
      <c r="B12" s="97"/>
      <c r="C12" s="95"/>
      <c r="D12" s="95"/>
      <c r="E12" s="105" t="s">
        <v>161</v>
      </c>
      <c r="F12" s="451"/>
      <c r="G12" s="95" t="e">
        <f>VLOOKUP(E12,#REF!,2,FALSE)</f>
        <v>#REF!</v>
      </c>
      <c r="H12" s="95" t="e">
        <f>VLOOKUP(E12,#REF!,3,FALSE)</f>
        <v>#REF!</v>
      </c>
      <c r="I12" s="95" t="e">
        <f>VLOOKUP(E12,#REF!,4,FALSE)</f>
        <v>#REF!</v>
      </c>
      <c r="J12" s="105" t="e">
        <f>VLOOKUP(E12,#REF!,5,FALSE)</f>
        <v>#REF!</v>
      </c>
      <c r="K12" s="96" t="e">
        <f t="shared" si="1"/>
        <v>#REF!</v>
      </c>
      <c r="L12" s="97" t="e">
        <f>VLOOKUP(E12,#REF!,7,FALSE)</f>
        <v>#REF!</v>
      </c>
      <c r="M12" s="95" t="e">
        <f>VLOOKUP(E12,#REF!,9,FALSE)</f>
        <v>#REF!</v>
      </c>
      <c r="N12" s="96" t="e">
        <f>VLOOKUP(E12,#REF!,11,FALSE)</f>
        <v>#REF!</v>
      </c>
      <c r="O12" s="97" t="e">
        <f t="shared" si="2"/>
        <v>#REF!</v>
      </c>
      <c r="P12" s="95" t="e">
        <f t="shared" si="3"/>
        <v>#REF!</v>
      </c>
      <c r="Q12" s="105" t="e">
        <f t="shared" si="4"/>
        <v>#REF!</v>
      </c>
      <c r="R12" s="112" t="e">
        <f t="shared" si="0"/>
        <v>#REF!</v>
      </c>
      <c r="S12" s="501">
        <v>1</v>
      </c>
    </row>
    <row r="13" spans="1:19">
      <c r="B13" s="97"/>
      <c r="C13" s="95"/>
      <c r="D13" s="95"/>
      <c r="E13" s="105" t="s">
        <v>160</v>
      </c>
      <c r="F13" s="451"/>
      <c r="G13" s="95" t="e">
        <f>VLOOKUP(E13,#REF!,2,FALSE)</f>
        <v>#REF!</v>
      </c>
      <c r="H13" s="95" t="e">
        <f>VLOOKUP(E13,#REF!,3,FALSE)</f>
        <v>#REF!</v>
      </c>
      <c r="I13" s="95" t="e">
        <f>VLOOKUP(E13,#REF!,4,FALSE)</f>
        <v>#REF!</v>
      </c>
      <c r="J13" s="105" t="e">
        <f>VLOOKUP(E13,#REF!,5,FALSE)</f>
        <v>#REF!</v>
      </c>
      <c r="K13" s="96" t="e">
        <f t="shared" si="1"/>
        <v>#REF!</v>
      </c>
      <c r="L13" s="97" t="e">
        <f>VLOOKUP(E13,#REF!,7,FALSE)</f>
        <v>#REF!</v>
      </c>
      <c r="M13" s="95" t="e">
        <f>VLOOKUP(E13,#REF!,9,FALSE)</f>
        <v>#REF!</v>
      </c>
      <c r="N13" s="96" t="e">
        <f>VLOOKUP(E13,#REF!,11,FALSE)</f>
        <v>#REF!</v>
      </c>
      <c r="O13" s="97" t="e">
        <f t="shared" si="2"/>
        <v>#REF!</v>
      </c>
      <c r="P13" s="95" t="e">
        <f t="shared" si="3"/>
        <v>#REF!</v>
      </c>
      <c r="Q13" s="105" t="e">
        <f t="shared" si="4"/>
        <v>#REF!</v>
      </c>
      <c r="R13" s="112" t="e">
        <f t="shared" si="0"/>
        <v>#REF!</v>
      </c>
      <c r="S13" s="501">
        <v>1</v>
      </c>
    </row>
    <row r="14" spans="1:19">
      <c r="B14" s="97"/>
      <c r="C14" s="95"/>
      <c r="D14" s="95"/>
      <c r="E14" s="105" t="s">
        <v>77</v>
      </c>
      <c r="F14" s="451"/>
      <c r="G14" s="95" t="e">
        <f>VLOOKUP(E14,#REF!,2,FALSE)</f>
        <v>#REF!</v>
      </c>
      <c r="H14" s="95" t="e">
        <f>VLOOKUP(E14,#REF!,3,FALSE)</f>
        <v>#REF!</v>
      </c>
      <c r="I14" s="95" t="e">
        <f>VLOOKUP(E14,#REF!,4,FALSE)</f>
        <v>#REF!</v>
      </c>
      <c r="J14" s="105" t="e">
        <f>VLOOKUP(E14,#REF!,5,FALSE)</f>
        <v>#REF!</v>
      </c>
      <c r="K14" s="96" t="e">
        <f t="shared" si="1"/>
        <v>#REF!</v>
      </c>
      <c r="L14" s="97" t="e">
        <f>VLOOKUP(E14,#REF!,7,FALSE)</f>
        <v>#REF!</v>
      </c>
      <c r="M14" s="95" t="e">
        <f>VLOOKUP(E14,#REF!,9,FALSE)</f>
        <v>#REF!</v>
      </c>
      <c r="N14" s="96" t="e">
        <f>VLOOKUP(E14,#REF!,11,FALSE)</f>
        <v>#REF!</v>
      </c>
      <c r="O14" s="97" t="e">
        <f t="shared" si="2"/>
        <v>#REF!</v>
      </c>
      <c r="P14" s="95" t="e">
        <f t="shared" si="3"/>
        <v>#REF!</v>
      </c>
      <c r="Q14" s="105" t="e">
        <f t="shared" si="4"/>
        <v>#REF!</v>
      </c>
      <c r="R14" s="112" t="e">
        <f t="shared" si="0"/>
        <v>#REF!</v>
      </c>
      <c r="S14" s="501">
        <v>2</v>
      </c>
    </row>
    <row r="15" spans="1:19">
      <c r="B15" s="20" t="s">
        <v>50</v>
      </c>
      <c r="C15" s="14"/>
      <c r="D15" s="101" t="s">
        <v>68</v>
      </c>
      <c r="E15" s="104"/>
      <c r="F15" s="108"/>
      <c r="G15" s="102"/>
      <c r="H15" s="102"/>
      <c r="I15" s="102"/>
      <c r="J15" s="104"/>
      <c r="K15" s="210" t="e">
        <f>SUM(K16:K22)</f>
        <v>#REF!</v>
      </c>
      <c r="L15" s="108"/>
      <c r="M15" s="102"/>
      <c r="N15" s="103"/>
      <c r="O15" s="206" t="e">
        <f>SUM(O16:O22)</f>
        <v>#REF!</v>
      </c>
      <c r="P15" s="207" t="e">
        <f>SUM(P16:P22)</f>
        <v>#REF!</v>
      </c>
      <c r="Q15" s="208" t="e">
        <f>SUM(Q16:Q22)</f>
        <v>#REF!</v>
      </c>
      <c r="R15" s="209" t="e">
        <f>SUM(R16:R22)</f>
        <v>#REF!</v>
      </c>
      <c r="S15" s="501"/>
    </row>
    <row r="16" spans="1:19">
      <c r="B16" s="97"/>
      <c r="C16" s="95"/>
      <c r="D16" s="95"/>
      <c r="E16" s="105" t="s">
        <v>85</v>
      </c>
      <c r="F16" s="451">
        <v>0</v>
      </c>
      <c r="G16" s="95" t="e">
        <f>VLOOKUP(E16,#REF!,2,FALSE)</f>
        <v>#REF!</v>
      </c>
      <c r="H16" s="95" t="e">
        <f>VLOOKUP(E16,#REF!,3,FALSE)</f>
        <v>#REF!</v>
      </c>
      <c r="I16" s="95" t="e">
        <f>VLOOKUP(E16,#REF!,4,FALSE)</f>
        <v>#REF!</v>
      </c>
      <c r="J16" s="105" t="e">
        <f>VLOOKUP(E16,#REF!,5,FALSE)</f>
        <v>#REF!</v>
      </c>
      <c r="K16" s="96" t="e">
        <f t="shared" ref="K16:K22" si="5">F16*J16*H16</f>
        <v>#REF!</v>
      </c>
      <c r="L16" s="97" t="e">
        <f>VLOOKUP(E16,#REF!,7,FALSE)</f>
        <v>#REF!</v>
      </c>
      <c r="M16" s="95" t="e">
        <f>VLOOKUP(E16,#REF!,9,FALSE)</f>
        <v>#REF!</v>
      </c>
      <c r="N16" s="96" t="e">
        <f>VLOOKUP(E16,#REF!,11,FALSE)</f>
        <v>#REF!</v>
      </c>
      <c r="O16" s="97" t="e">
        <f t="shared" ref="O16:O22" si="6">ROUND(K16*L16/1000,0)</f>
        <v>#REF!</v>
      </c>
      <c r="P16" s="95" t="e">
        <f t="shared" ref="P16:P22" si="7">ROUND(M16*K16/1000,3)</f>
        <v>#REF!</v>
      </c>
      <c r="Q16" s="105" t="e">
        <f t="shared" ref="Q16:Q22" si="8">ROUND(K16*N16/1000,3)</f>
        <v>#REF!</v>
      </c>
      <c r="R16" s="112" t="e">
        <f t="shared" ref="R16:R22" si="9">ROUND(O16+P16*GWP_CH4+Q16*GWP_N2O,0)</f>
        <v>#REF!</v>
      </c>
      <c r="S16" s="501">
        <v>1</v>
      </c>
    </row>
    <row r="17" spans="2:21">
      <c r="B17" s="97"/>
      <c r="C17" s="95"/>
      <c r="D17" s="95"/>
      <c r="E17" s="105" t="s">
        <v>84</v>
      </c>
      <c r="F17" s="451">
        <v>11312.442999999999</v>
      </c>
      <c r="G17" s="95" t="e">
        <f>VLOOKUP(E17,#REF!,2,FALSE)</f>
        <v>#REF!</v>
      </c>
      <c r="H17" s="95" t="e">
        <f>VLOOKUP(E17,#REF!,3,FALSE)</f>
        <v>#REF!</v>
      </c>
      <c r="I17" s="95" t="e">
        <f>VLOOKUP(E17,#REF!,4,FALSE)</f>
        <v>#REF!</v>
      </c>
      <c r="J17" s="105" t="e">
        <f>VLOOKUP(E17,#REF!,5,FALSE)</f>
        <v>#REF!</v>
      </c>
      <c r="K17" s="96" t="e">
        <f t="shared" si="5"/>
        <v>#REF!</v>
      </c>
      <c r="L17" s="97" t="e">
        <f>VLOOKUP(E17,#REF!,7,FALSE)</f>
        <v>#REF!</v>
      </c>
      <c r="M17" s="95" t="e">
        <f>VLOOKUP(E17,#REF!,9,FALSE)</f>
        <v>#REF!</v>
      </c>
      <c r="N17" s="96" t="e">
        <f>VLOOKUP(E17,#REF!,11,FALSE)</f>
        <v>#REF!</v>
      </c>
      <c r="O17" s="97" t="e">
        <f t="shared" si="6"/>
        <v>#REF!</v>
      </c>
      <c r="P17" s="95" t="e">
        <f t="shared" si="7"/>
        <v>#REF!</v>
      </c>
      <c r="Q17" s="105" t="e">
        <f t="shared" si="8"/>
        <v>#REF!</v>
      </c>
      <c r="R17" s="112" t="e">
        <f t="shared" si="9"/>
        <v>#REF!</v>
      </c>
      <c r="S17" s="501">
        <v>1</v>
      </c>
    </row>
    <row r="18" spans="2:21">
      <c r="B18" s="97"/>
      <c r="C18" s="95"/>
      <c r="D18" s="95"/>
      <c r="E18" s="105" t="s">
        <v>83</v>
      </c>
      <c r="F18" s="451">
        <v>0</v>
      </c>
      <c r="G18" s="95" t="e">
        <f>VLOOKUP(E18,#REF!,2,FALSE)</f>
        <v>#REF!</v>
      </c>
      <c r="H18" s="95" t="e">
        <f>VLOOKUP(E18,#REF!,3,FALSE)</f>
        <v>#REF!</v>
      </c>
      <c r="I18" s="95" t="e">
        <f>VLOOKUP(E18,#REF!,4,FALSE)</f>
        <v>#REF!</v>
      </c>
      <c r="J18" s="105" t="e">
        <f>VLOOKUP(E18,#REF!,5,FALSE)</f>
        <v>#REF!</v>
      </c>
      <c r="K18" s="96" t="e">
        <f t="shared" si="5"/>
        <v>#REF!</v>
      </c>
      <c r="L18" s="97" t="e">
        <f>VLOOKUP(E18,#REF!,7,FALSE)</f>
        <v>#REF!</v>
      </c>
      <c r="M18" s="95" t="e">
        <f>VLOOKUP(E18,#REF!,9,FALSE)</f>
        <v>#REF!</v>
      </c>
      <c r="N18" s="96" t="e">
        <f>VLOOKUP(E18,#REF!,11,FALSE)</f>
        <v>#REF!</v>
      </c>
      <c r="O18" s="97" t="e">
        <f t="shared" si="6"/>
        <v>#REF!</v>
      </c>
      <c r="P18" s="95" t="e">
        <f t="shared" si="7"/>
        <v>#REF!</v>
      </c>
      <c r="Q18" s="105" t="e">
        <f t="shared" si="8"/>
        <v>#REF!</v>
      </c>
      <c r="R18" s="112" t="e">
        <f t="shared" si="9"/>
        <v>#REF!</v>
      </c>
      <c r="S18" s="501">
        <v>1</v>
      </c>
    </row>
    <row r="19" spans="2:21">
      <c r="B19" s="97"/>
      <c r="C19" s="95"/>
      <c r="D19" s="95"/>
      <c r="E19" s="105" t="s">
        <v>80</v>
      </c>
      <c r="F19" s="451">
        <v>0</v>
      </c>
      <c r="G19" s="95" t="e">
        <f>VLOOKUP(E19,#REF!,2,FALSE)</f>
        <v>#REF!</v>
      </c>
      <c r="H19" s="95" t="e">
        <f>VLOOKUP(E19,#REF!,3,FALSE)</f>
        <v>#REF!</v>
      </c>
      <c r="I19" s="95" t="e">
        <f>VLOOKUP(E19,#REF!,4,FALSE)</f>
        <v>#REF!</v>
      </c>
      <c r="J19" s="105" t="e">
        <f>VLOOKUP(E19,#REF!,5,FALSE)</f>
        <v>#REF!</v>
      </c>
      <c r="K19" s="96" t="e">
        <f t="shared" si="5"/>
        <v>#REF!</v>
      </c>
      <c r="L19" s="97" t="e">
        <f>VLOOKUP(E19,#REF!,7,FALSE)</f>
        <v>#REF!</v>
      </c>
      <c r="M19" s="95" t="e">
        <f>VLOOKUP(E19,#REF!,9,FALSE)</f>
        <v>#REF!</v>
      </c>
      <c r="N19" s="96" t="e">
        <f>VLOOKUP(E19,#REF!,11,FALSE)</f>
        <v>#REF!</v>
      </c>
      <c r="O19" s="97" t="e">
        <f t="shared" si="6"/>
        <v>#REF!</v>
      </c>
      <c r="P19" s="95" t="e">
        <f t="shared" si="7"/>
        <v>#REF!</v>
      </c>
      <c r="Q19" s="105" t="e">
        <f t="shared" si="8"/>
        <v>#REF!</v>
      </c>
      <c r="R19" s="112" t="e">
        <f t="shared" si="9"/>
        <v>#REF!</v>
      </c>
      <c r="S19" s="501">
        <v>1</v>
      </c>
    </row>
    <row r="20" spans="2:21">
      <c r="B20" s="97"/>
      <c r="C20" s="95"/>
      <c r="D20" s="95"/>
      <c r="E20" s="105" t="s">
        <v>161</v>
      </c>
      <c r="F20" s="451">
        <v>0</v>
      </c>
      <c r="G20" s="95" t="e">
        <f>VLOOKUP(E20,#REF!,2,FALSE)</f>
        <v>#REF!</v>
      </c>
      <c r="H20" s="95" t="e">
        <f>VLOOKUP(E20,#REF!,3,FALSE)</f>
        <v>#REF!</v>
      </c>
      <c r="I20" s="95" t="e">
        <f>VLOOKUP(E20,#REF!,4,FALSE)</f>
        <v>#REF!</v>
      </c>
      <c r="J20" s="105" t="e">
        <f>VLOOKUP(E20,#REF!,5,FALSE)</f>
        <v>#REF!</v>
      </c>
      <c r="K20" s="96" t="e">
        <f t="shared" si="5"/>
        <v>#REF!</v>
      </c>
      <c r="L20" s="97" t="e">
        <f>VLOOKUP(E20,#REF!,7,FALSE)</f>
        <v>#REF!</v>
      </c>
      <c r="M20" s="95" t="e">
        <f>VLOOKUP(E20,#REF!,9,FALSE)</f>
        <v>#REF!</v>
      </c>
      <c r="N20" s="96" t="e">
        <f>VLOOKUP(E20,#REF!,11,FALSE)</f>
        <v>#REF!</v>
      </c>
      <c r="O20" s="97" t="e">
        <f t="shared" si="6"/>
        <v>#REF!</v>
      </c>
      <c r="P20" s="95" t="e">
        <f t="shared" si="7"/>
        <v>#REF!</v>
      </c>
      <c r="Q20" s="105" t="e">
        <f t="shared" si="8"/>
        <v>#REF!</v>
      </c>
      <c r="R20" s="112" t="e">
        <f t="shared" si="9"/>
        <v>#REF!</v>
      </c>
      <c r="S20" s="501">
        <v>1</v>
      </c>
    </row>
    <row r="21" spans="2:21">
      <c r="B21" s="97"/>
      <c r="C21" s="95"/>
      <c r="D21" s="95"/>
      <c r="E21" s="105" t="s">
        <v>160</v>
      </c>
      <c r="F21" s="451">
        <v>0</v>
      </c>
      <c r="G21" s="95" t="e">
        <f>VLOOKUP(E21,#REF!,2,FALSE)</f>
        <v>#REF!</v>
      </c>
      <c r="H21" s="95" t="e">
        <f>VLOOKUP(E21,#REF!,3,FALSE)</f>
        <v>#REF!</v>
      </c>
      <c r="I21" s="95" t="e">
        <f>VLOOKUP(E21,#REF!,4,FALSE)</f>
        <v>#REF!</v>
      </c>
      <c r="J21" s="105" t="e">
        <f>VLOOKUP(E21,#REF!,5,FALSE)</f>
        <v>#REF!</v>
      </c>
      <c r="K21" s="96" t="e">
        <f t="shared" si="5"/>
        <v>#REF!</v>
      </c>
      <c r="L21" s="97" t="e">
        <f>VLOOKUP(E21,#REF!,7,FALSE)</f>
        <v>#REF!</v>
      </c>
      <c r="M21" s="95" t="e">
        <f>VLOOKUP(E21,#REF!,9,FALSE)</f>
        <v>#REF!</v>
      </c>
      <c r="N21" s="96" t="e">
        <f>VLOOKUP(E21,#REF!,11,FALSE)</f>
        <v>#REF!</v>
      </c>
      <c r="O21" s="97" t="e">
        <f t="shared" si="6"/>
        <v>#REF!</v>
      </c>
      <c r="P21" s="95" t="e">
        <f t="shared" si="7"/>
        <v>#REF!</v>
      </c>
      <c r="Q21" s="105" t="e">
        <f t="shared" si="8"/>
        <v>#REF!</v>
      </c>
      <c r="R21" s="112" t="e">
        <f t="shared" si="9"/>
        <v>#REF!</v>
      </c>
      <c r="S21" s="501">
        <v>1</v>
      </c>
    </row>
    <row r="22" spans="2:21">
      <c r="B22" s="97"/>
      <c r="C22" s="95"/>
      <c r="D22" s="95"/>
      <c r="E22" s="105" t="s">
        <v>77</v>
      </c>
      <c r="F22" s="451">
        <v>0</v>
      </c>
      <c r="G22" s="95" t="e">
        <f>VLOOKUP(E22,#REF!,2,FALSE)</f>
        <v>#REF!</v>
      </c>
      <c r="H22" s="95" t="e">
        <f>VLOOKUP(E22,#REF!,3,FALSE)</f>
        <v>#REF!</v>
      </c>
      <c r="I22" s="95" t="e">
        <f>VLOOKUP(E22,#REF!,4,FALSE)</f>
        <v>#REF!</v>
      </c>
      <c r="J22" s="105" t="e">
        <f>VLOOKUP(E22,#REF!,5,FALSE)</f>
        <v>#REF!</v>
      </c>
      <c r="K22" s="96" t="e">
        <f t="shared" si="5"/>
        <v>#REF!</v>
      </c>
      <c r="L22" s="97" t="e">
        <f>VLOOKUP(E22,#REF!,7,FALSE)</f>
        <v>#REF!</v>
      </c>
      <c r="M22" s="95" t="e">
        <f>VLOOKUP(E22,#REF!,9,FALSE)</f>
        <v>#REF!</v>
      </c>
      <c r="N22" s="96" t="e">
        <f>VLOOKUP(E22,#REF!,11,FALSE)</f>
        <v>#REF!</v>
      </c>
      <c r="O22" s="97" t="e">
        <f t="shared" si="6"/>
        <v>#REF!</v>
      </c>
      <c r="P22" s="95" t="e">
        <f t="shared" si="7"/>
        <v>#REF!</v>
      </c>
      <c r="Q22" s="105" t="e">
        <f t="shared" si="8"/>
        <v>#REF!</v>
      </c>
      <c r="R22" s="112" t="e">
        <f t="shared" si="9"/>
        <v>#REF!</v>
      </c>
      <c r="S22" s="501">
        <v>2</v>
      </c>
    </row>
    <row r="23" spans="2:21">
      <c r="B23" s="20" t="s">
        <v>51</v>
      </c>
      <c r="C23" s="14"/>
      <c r="D23" s="101" t="s">
        <v>48</v>
      </c>
      <c r="E23" s="104"/>
      <c r="F23" s="108"/>
      <c r="G23" s="102"/>
      <c r="H23" s="102"/>
      <c r="I23" s="102"/>
      <c r="J23" s="104"/>
      <c r="K23" s="210" t="e">
        <f>SUM(K24:K30)</f>
        <v>#REF!</v>
      </c>
      <c r="L23" s="108"/>
      <c r="M23" s="102"/>
      <c r="N23" s="103"/>
      <c r="O23" s="206" t="e">
        <f>SUM(O24:O30)</f>
        <v>#REF!</v>
      </c>
      <c r="P23" s="207" t="e">
        <f>SUM(P24:P30)</f>
        <v>#REF!</v>
      </c>
      <c r="Q23" s="208" t="e">
        <f>SUM(Q24:Q30)</f>
        <v>#REF!</v>
      </c>
      <c r="R23" s="209" t="e">
        <f>SUM(R24:R30)</f>
        <v>#REF!</v>
      </c>
      <c r="S23" s="501"/>
    </row>
    <row r="24" spans="2:21">
      <c r="B24" s="97"/>
      <c r="C24" s="95"/>
      <c r="D24" s="95"/>
      <c r="E24" s="105" t="s">
        <v>85</v>
      </c>
      <c r="F24" s="224" t="e">
        <f>ROUND(SUM(O44:O49)/1000+((C110*1.5+C110*1.7)*365*D110/1000*0.4),3)</f>
        <v>#REF!</v>
      </c>
      <c r="G24" s="95" t="e">
        <f>VLOOKUP(E24,#REF!,2,FALSE)</f>
        <v>#REF!</v>
      </c>
      <c r="H24" s="95" t="e">
        <f>VLOOKUP(E24,#REF!,3,FALSE)</f>
        <v>#REF!</v>
      </c>
      <c r="I24" s="95" t="e">
        <f>VLOOKUP(E24,#REF!,4,FALSE)</f>
        <v>#REF!</v>
      </c>
      <c r="J24" s="105" t="e">
        <f>VLOOKUP(E24,#REF!,5,FALSE)</f>
        <v>#REF!</v>
      </c>
      <c r="K24" s="96" t="e">
        <f t="shared" ref="K24:K30" si="10">F24*J24*H24</f>
        <v>#REF!</v>
      </c>
      <c r="L24" s="97" t="e">
        <f>VLOOKUP(E24,#REF!,7,FALSE)</f>
        <v>#REF!</v>
      </c>
      <c r="M24" s="95" t="e">
        <f>VLOOKUP(E24,#REF!,9,FALSE)</f>
        <v>#REF!</v>
      </c>
      <c r="N24" s="96" t="e">
        <f>VLOOKUP(E24,#REF!,11,FALSE)</f>
        <v>#REF!</v>
      </c>
      <c r="O24" s="97" t="e">
        <f>ROUND(K24*L24/1000,0)</f>
        <v>#REF!</v>
      </c>
      <c r="P24" s="95" t="e">
        <f t="shared" ref="P24:P30" si="11">ROUND(M24*K24/1000,3)</f>
        <v>#REF!</v>
      </c>
      <c r="Q24" s="105" t="e">
        <f t="shared" ref="Q24:Q30" si="12">ROUND(K24*N24/1000,3)</f>
        <v>#REF!</v>
      </c>
      <c r="R24" s="112" t="e">
        <f t="shared" ref="R24:R30" si="13">ROUND(O24+P24*GWP_CH4+Q24*GWP_N2O,0)</f>
        <v>#REF!</v>
      </c>
      <c r="S24" s="501">
        <v>1</v>
      </c>
    </row>
    <row r="25" spans="2:21">
      <c r="B25" s="97"/>
      <c r="C25" s="95"/>
      <c r="D25" s="95"/>
      <c r="E25" s="105" t="s">
        <v>84</v>
      </c>
      <c r="F25" s="97" t="e">
        <f>ROUND(SUM(O52:O57)/1000+((C110*1.5+C110*1.7)*365*D110/1000*0.5),3)</f>
        <v>#REF!</v>
      </c>
      <c r="G25" s="95" t="e">
        <f>VLOOKUP(E25,#REF!,2,FALSE)</f>
        <v>#REF!</v>
      </c>
      <c r="H25" s="95" t="e">
        <f>VLOOKUP(E25,#REF!,3,FALSE)</f>
        <v>#REF!</v>
      </c>
      <c r="I25" s="95" t="e">
        <f>VLOOKUP(E25,#REF!,4,FALSE)</f>
        <v>#REF!</v>
      </c>
      <c r="J25" s="105" t="e">
        <f>VLOOKUP(E25,#REF!,5,FALSE)</f>
        <v>#REF!</v>
      </c>
      <c r="K25" s="96" t="e">
        <f t="shared" si="10"/>
        <v>#REF!</v>
      </c>
      <c r="L25" s="97" t="e">
        <f>VLOOKUP(E25,#REF!,7,FALSE)</f>
        <v>#REF!</v>
      </c>
      <c r="M25" s="95" t="e">
        <f>VLOOKUP(E25,#REF!,9,FALSE)</f>
        <v>#REF!</v>
      </c>
      <c r="N25" s="96" t="e">
        <f>VLOOKUP(E25,#REF!,11,FALSE)</f>
        <v>#REF!</v>
      </c>
      <c r="O25" s="97" t="e">
        <f t="shared" ref="O25:O30" si="14">ROUND(K25*L25/1000,0)</f>
        <v>#REF!</v>
      </c>
      <c r="P25" s="95" t="e">
        <f t="shared" si="11"/>
        <v>#REF!</v>
      </c>
      <c r="Q25" s="105" t="e">
        <f t="shared" si="12"/>
        <v>#REF!</v>
      </c>
      <c r="R25" s="112" t="e">
        <f t="shared" si="13"/>
        <v>#REF!</v>
      </c>
      <c r="S25" s="501">
        <v>1</v>
      </c>
      <c r="T25" s="71"/>
      <c r="U25" s="248"/>
    </row>
    <row r="26" spans="2:21">
      <c r="B26" s="97"/>
      <c r="C26" s="95"/>
      <c r="D26" s="95"/>
      <c r="E26" s="105" t="s">
        <v>83</v>
      </c>
      <c r="F26" s="97" t="e">
        <f>ROUND(SUM(O60:O65)/1000+((C110*1.5+C110*1.7)*365*D110/1000*0.1),3)</f>
        <v>#REF!</v>
      </c>
      <c r="G26" s="95" t="e">
        <f>VLOOKUP(E26,#REF!,2,FALSE)</f>
        <v>#REF!</v>
      </c>
      <c r="H26" s="95" t="e">
        <f>VLOOKUP(E26,#REF!,3,FALSE)</f>
        <v>#REF!</v>
      </c>
      <c r="I26" s="95" t="e">
        <f>VLOOKUP(E26,#REF!,4,FALSE)</f>
        <v>#REF!</v>
      </c>
      <c r="J26" s="105" t="e">
        <f>VLOOKUP(E26,#REF!,5,FALSE)</f>
        <v>#REF!</v>
      </c>
      <c r="K26" s="96" t="e">
        <f t="shared" si="10"/>
        <v>#REF!</v>
      </c>
      <c r="L26" s="97" t="e">
        <f>VLOOKUP(E26,#REF!,7,FALSE)</f>
        <v>#REF!</v>
      </c>
      <c r="M26" s="95" t="e">
        <f>VLOOKUP(E26,#REF!,9,FALSE)</f>
        <v>#REF!</v>
      </c>
      <c r="N26" s="96" t="e">
        <f>VLOOKUP(E26,#REF!,11,FALSE)</f>
        <v>#REF!</v>
      </c>
      <c r="O26" s="97" t="e">
        <f t="shared" si="14"/>
        <v>#REF!</v>
      </c>
      <c r="P26" s="95" t="e">
        <f t="shared" si="11"/>
        <v>#REF!</v>
      </c>
      <c r="Q26" s="105" t="e">
        <f t="shared" si="12"/>
        <v>#REF!</v>
      </c>
      <c r="R26" s="112" t="e">
        <f t="shared" si="13"/>
        <v>#REF!</v>
      </c>
      <c r="S26" s="501">
        <v>1</v>
      </c>
      <c r="T26" s="71"/>
    </row>
    <row r="27" spans="2:21">
      <c r="B27" s="97"/>
      <c r="C27" s="95"/>
      <c r="D27" s="95"/>
      <c r="E27" s="105" t="s">
        <v>80</v>
      </c>
      <c r="F27" s="97" t="e">
        <f>ROUND(SUM(O68:O73)/1000,3)</f>
        <v>#REF!</v>
      </c>
      <c r="G27" s="95" t="e">
        <f>VLOOKUP(E27,#REF!,2,FALSE)</f>
        <v>#REF!</v>
      </c>
      <c r="H27" s="95" t="e">
        <f>VLOOKUP(E27,#REF!,3,FALSE)</f>
        <v>#REF!</v>
      </c>
      <c r="I27" s="95" t="e">
        <f>VLOOKUP(E27,#REF!,4,FALSE)</f>
        <v>#REF!</v>
      </c>
      <c r="J27" s="105" t="e">
        <f>VLOOKUP(E27,#REF!,5,FALSE)</f>
        <v>#REF!</v>
      </c>
      <c r="K27" s="96" t="e">
        <f t="shared" si="10"/>
        <v>#REF!</v>
      </c>
      <c r="L27" s="97" t="e">
        <f>VLOOKUP(E27,#REF!,7,FALSE)</f>
        <v>#REF!</v>
      </c>
      <c r="M27" s="95" t="e">
        <f>VLOOKUP(E27,#REF!,9,FALSE)</f>
        <v>#REF!</v>
      </c>
      <c r="N27" s="96" t="e">
        <f>VLOOKUP(E27,#REF!,11,FALSE)</f>
        <v>#REF!</v>
      </c>
      <c r="O27" s="97" t="e">
        <f t="shared" si="14"/>
        <v>#REF!</v>
      </c>
      <c r="P27" s="95" t="e">
        <f t="shared" si="11"/>
        <v>#REF!</v>
      </c>
      <c r="Q27" s="105" t="e">
        <f t="shared" si="12"/>
        <v>#REF!</v>
      </c>
      <c r="R27" s="112" t="e">
        <f t="shared" si="13"/>
        <v>#REF!</v>
      </c>
      <c r="S27" s="501">
        <v>1</v>
      </c>
    </row>
    <row r="28" spans="2:21">
      <c r="B28" s="97"/>
      <c r="C28" s="95"/>
      <c r="D28" s="95"/>
      <c r="E28" s="105" t="s">
        <v>161</v>
      </c>
      <c r="F28" s="97" t="e">
        <f>ROUND(SUM(O84:O89)/1000,3)</f>
        <v>#REF!</v>
      </c>
      <c r="G28" s="95" t="e">
        <f>VLOOKUP(E28,#REF!,2,FALSE)</f>
        <v>#REF!</v>
      </c>
      <c r="H28" s="95" t="e">
        <f>VLOOKUP(E28,#REF!,3,FALSE)</f>
        <v>#REF!</v>
      </c>
      <c r="I28" s="95" t="e">
        <f>VLOOKUP(E28,#REF!,4,FALSE)</f>
        <v>#REF!</v>
      </c>
      <c r="J28" s="105" t="e">
        <f>VLOOKUP(E28,#REF!,5,FALSE)</f>
        <v>#REF!</v>
      </c>
      <c r="K28" s="96" t="e">
        <f t="shared" si="10"/>
        <v>#REF!</v>
      </c>
      <c r="L28" s="97" t="e">
        <f>VLOOKUP(E28,#REF!,7,FALSE)</f>
        <v>#REF!</v>
      </c>
      <c r="M28" s="95" t="e">
        <f>VLOOKUP(E28,#REF!,9,FALSE)</f>
        <v>#REF!</v>
      </c>
      <c r="N28" s="96" t="e">
        <f>VLOOKUP(E28,#REF!,11,FALSE)</f>
        <v>#REF!</v>
      </c>
      <c r="O28" s="97" t="e">
        <f t="shared" si="14"/>
        <v>#REF!</v>
      </c>
      <c r="P28" s="95" t="e">
        <f t="shared" si="11"/>
        <v>#REF!</v>
      </c>
      <c r="Q28" s="105" t="e">
        <f t="shared" si="12"/>
        <v>#REF!</v>
      </c>
      <c r="R28" s="112" t="e">
        <f t="shared" si="13"/>
        <v>#REF!</v>
      </c>
      <c r="S28" s="501">
        <v>1</v>
      </c>
    </row>
    <row r="29" spans="2:21">
      <c r="B29" s="97"/>
      <c r="C29" s="95"/>
      <c r="D29" s="95"/>
      <c r="E29" s="105" t="s">
        <v>160</v>
      </c>
      <c r="F29" s="97" t="e">
        <f>ROUND(SUM(O76:O81)/1000,3)</f>
        <v>#REF!</v>
      </c>
      <c r="G29" s="95" t="e">
        <f>VLOOKUP(E29,#REF!,2,FALSE)</f>
        <v>#REF!</v>
      </c>
      <c r="H29" s="95" t="e">
        <f>VLOOKUP(E29,#REF!,3,FALSE)</f>
        <v>#REF!</v>
      </c>
      <c r="I29" s="95" t="e">
        <f>VLOOKUP(E29,#REF!,4,FALSE)</f>
        <v>#REF!</v>
      </c>
      <c r="J29" s="105" t="e">
        <f>VLOOKUP(E29,#REF!,5,FALSE)</f>
        <v>#REF!</v>
      </c>
      <c r="K29" s="96" t="e">
        <f t="shared" si="10"/>
        <v>#REF!</v>
      </c>
      <c r="L29" s="97" t="e">
        <f>VLOOKUP(E29,#REF!,7,FALSE)</f>
        <v>#REF!</v>
      </c>
      <c r="M29" s="95" t="e">
        <f>VLOOKUP(E29,#REF!,9,FALSE)</f>
        <v>#REF!</v>
      </c>
      <c r="N29" s="96" t="e">
        <f>VLOOKUP(E29,#REF!,11,FALSE)</f>
        <v>#REF!</v>
      </c>
      <c r="O29" s="97" t="e">
        <f t="shared" si="14"/>
        <v>#REF!</v>
      </c>
      <c r="P29" s="95" t="e">
        <f t="shared" si="11"/>
        <v>#REF!</v>
      </c>
      <c r="Q29" s="105" t="e">
        <f t="shared" si="12"/>
        <v>#REF!</v>
      </c>
      <c r="R29" s="112" t="e">
        <f t="shared" si="13"/>
        <v>#REF!</v>
      </c>
      <c r="S29" s="501">
        <v>1</v>
      </c>
    </row>
    <row r="30" spans="2:21">
      <c r="B30" s="97"/>
      <c r="C30" s="95"/>
      <c r="D30" s="95"/>
      <c r="E30" s="105" t="s">
        <v>77</v>
      </c>
      <c r="F30" s="97" t="e">
        <f>ROUND(SUM(O92:O97)/1000,3)</f>
        <v>#REF!</v>
      </c>
      <c r="G30" s="95" t="e">
        <f>VLOOKUP(E30,#REF!,2,FALSE)</f>
        <v>#REF!</v>
      </c>
      <c r="H30" s="95" t="e">
        <f>VLOOKUP(E30,#REF!,3,FALSE)</f>
        <v>#REF!</v>
      </c>
      <c r="I30" s="95" t="e">
        <f>VLOOKUP(E30,#REF!,4,FALSE)</f>
        <v>#REF!</v>
      </c>
      <c r="J30" s="105" t="e">
        <f>VLOOKUP(E30,#REF!,5,FALSE)</f>
        <v>#REF!</v>
      </c>
      <c r="K30" s="96" t="e">
        <f t="shared" si="10"/>
        <v>#REF!</v>
      </c>
      <c r="L30" s="97" t="e">
        <f>VLOOKUP(E30,#REF!,7,FALSE)</f>
        <v>#REF!</v>
      </c>
      <c r="M30" s="95" t="e">
        <f>VLOOKUP(E30,#REF!,9,FALSE)</f>
        <v>#REF!</v>
      </c>
      <c r="N30" s="96" t="e">
        <f>VLOOKUP(E30,#REF!,11,FALSE)</f>
        <v>#REF!</v>
      </c>
      <c r="O30" s="97" t="e">
        <f t="shared" si="14"/>
        <v>#REF!</v>
      </c>
      <c r="P30" s="95" t="e">
        <f t="shared" si="11"/>
        <v>#REF!</v>
      </c>
      <c r="Q30" s="105" t="e">
        <f t="shared" si="12"/>
        <v>#REF!</v>
      </c>
      <c r="R30" s="112" t="e">
        <f t="shared" si="13"/>
        <v>#REF!</v>
      </c>
      <c r="S30" s="501">
        <v>2</v>
      </c>
    </row>
    <row r="31" spans="2:21">
      <c r="B31" s="20" t="s">
        <v>27</v>
      </c>
      <c r="C31" s="100" t="s">
        <v>71</v>
      </c>
      <c r="D31" s="101"/>
      <c r="E31" s="104"/>
      <c r="F31" s="108"/>
      <c r="G31" s="102"/>
      <c r="H31" s="102"/>
      <c r="I31" s="102"/>
      <c r="J31" s="104"/>
      <c r="K31" s="210" t="e">
        <f>SUM(K32,K34,K37)</f>
        <v>#REF!</v>
      </c>
      <c r="L31" s="206"/>
      <c r="M31" s="207"/>
      <c r="N31" s="210"/>
      <c r="O31" s="206" t="e">
        <f>SUM(O32,O34,O37)</f>
        <v>#REF!</v>
      </c>
      <c r="P31" s="207" t="e">
        <f>SUM(P32,P34,P37)</f>
        <v>#REF!</v>
      </c>
      <c r="Q31" s="208" t="e">
        <f>SUM(Q32,Q34,Q37)</f>
        <v>#REF!</v>
      </c>
      <c r="R31" s="209" t="e">
        <f>SUM(R32,R34,R37)</f>
        <v>#REF!</v>
      </c>
      <c r="S31" s="501"/>
    </row>
    <row r="32" spans="2:21">
      <c r="B32" s="20" t="s">
        <v>53</v>
      </c>
      <c r="C32" s="14"/>
      <c r="D32" s="101" t="s">
        <v>69</v>
      </c>
      <c r="E32" s="104"/>
      <c r="F32" s="108"/>
      <c r="G32" s="102"/>
      <c r="H32" s="102"/>
      <c r="I32" s="102"/>
      <c r="J32" s="104"/>
      <c r="K32" s="210" t="e">
        <f>SUM(K33)</f>
        <v>#REF!</v>
      </c>
      <c r="L32" s="206"/>
      <c r="M32" s="207"/>
      <c r="N32" s="210"/>
      <c r="O32" s="206" t="e">
        <f>SUM(O33)</f>
        <v>#REF!</v>
      </c>
      <c r="P32" s="207" t="e">
        <f>SUM(P33)</f>
        <v>#REF!</v>
      </c>
      <c r="Q32" s="208" t="e">
        <f>SUM(Q33)</f>
        <v>#REF!</v>
      </c>
      <c r="R32" s="209" t="e">
        <f>SUM(R33)</f>
        <v>#REF!</v>
      </c>
      <c r="S32" s="501"/>
    </row>
    <row r="33" spans="2:19">
      <c r="B33" s="97"/>
      <c r="C33" s="95"/>
      <c r="D33" s="95"/>
      <c r="E33" s="105" t="s">
        <v>77</v>
      </c>
      <c r="F33" s="461" t="e">
        <f>#REF!</f>
        <v>#REF!</v>
      </c>
      <c r="G33" s="95" t="e">
        <f>VLOOKUP(E33,#REF!,2,FALSE)</f>
        <v>#REF!</v>
      </c>
      <c r="H33" s="95" t="e">
        <f>VLOOKUP(E33,#REF!,3,FALSE)</f>
        <v>#REF!</v>
      </c>
      <c r="I33" s="95" t="e">
        <f>VLOOKUP(E33,#REF!,4,FALSE)</f>
        <v>#REF!</v>
      </c>
      <c r="J33" s="105" t="e">
        <f>VLOOKUP(E33,#REF!,5,FALSE)</f>
        <v>#REF!</v>
      </c>
      <c r="K33" s="96" t="e">
        <f>F33*J33*H33</f>
        <v>#REF!</v>
      </c>
      <c r="L33" s="97" t="e">
        <f>VLOOKUP(E33,#REF!,7,FALSE)</f>
        <v>#REF!</v>
      </c>
      <c r="M33" s="95" t="e">
        <f>VLOOKUP(E33,#REF!,9,FALSE)</f>
        <v>#REF!</v>
      </c>
      <c r="N33" s="96" t="e">
        <f>VLOOKUP(E33,#REF!,11,FALSE)</f>
        <v>#REF!</v>
      </c>
      <c r="O33" s="97" t="e">
        <f>ROUND(K33*L33/1000,0)</f>
        <v>#REF!</v>
      </c>
      <c r="P33" s="95" t="e">
        <f>ROUND(M33*K33/1000,3)</f>
        <v>#REF!</v>
      </c>
      <c r="Q33" s="105" t="e">
        <f>ROUND(K33*N33/1000,3)</f>
        <v>#REF!</v>
      </c>
      <c r="R33" s="112" t="e">
        <f>ROUND(O33+P33*GWP_CH4+Q33*GWP_N2O,0)</f>
        <v>#REF!</v>
      </c>
      <c r="S33" s="501">
        <v>2</v>
      </c>
    </row>
    <row r="34" spans="2:19">
      <c r="B34" s="20" t="s">
        <v>158</v>
      </c>
      <c r="C34" s="14"/>
      <c r="D34" s="101" t="s">
        <v>73</v>
      </c>
      <c r="E34" s="104"/>
      <c r="F34" s="108"/>
      <c r="G34" s="102"/>
      <c r="H34" s="102"/>
      <c r="I34" s="102"/>
      <c r="J34" s="104"/>
      <c r="K34" s="210" t="e">
        <f>SUM(K35:K36)</f>
        <v>#REF!</v>
      </c>
      <c r="L34" s="206"/>
      <c r="M34" s="207"/>
      <c r="N34" s="210"/>
      <c r="O34" s="206" t="e">
        <f>SUM(O35:O36)</f>
        <v>#REF!</v>
      </c>
      <c r="P34" s="207" t="e">
        <f>SUM(P35:P36)</f>
        <v>#REF!</v>
      </c>
      <c r="Q34" s="208" t="e">
        <f>SUM(Q35:Q36)</f>
        <v>#REF!</v>
      </c>
      <c r="R34" s="209" t="e">
        <f>SUM(R35:R36)</f>
        <v>#REF!</v>
      </c>
      <c r="S34" s="501"/>
    </row>
    <row r="35" spans="2:19">
      <c r="B35" s="97"/>
      <c r="C35" s="95"/>
      <c r="D35" s="95"/>
      <c r="E35" s="105" t="s">
        <v>84</v>
      </c>
      <c r="F35" s="97" t="e">
        <f>ROUND(G115,3)</f>
        <v>#REF!</v>
      </c>
      <c r="G35" s="95" t="e">
        <f>VLOOKUP(E35,#REF!,2,FALSE)</f>
        <v>#REF!</v>
      </c>
      <c r="H35" s="95" t="e">
        <f>VLOOKUP(E35,#REF!,3,FALSE)</f>
        <v>#REF!</v>
      </c>
      <c r="I35" s="95" t="e">
        <f>VLOOKUP(E35,#REF!,4,FALSE)</f>
        <v>#REF!</v>
      </c>
      <c r="J35" s="105" t="e">
        <f>VLOOKUP(E35,#REF!,5,FALSE)</f>
        <v>#REF!</v>
      </c>
      <c r="K35" s="96" t="e">
        <f>F35*J35*H35</f>
        <v>#REF!</v>
      </c>
      <c r="L35" s="97" t="e">
        <f>VLOOKUP(E35,#REF!,7,FALSE)</f>
        <v>#REF!</v>
      </c>
      <c r="M35" s="95" t="e">
        <f>VLOOKUP(E35,#REF!,9,FALSE)</f>
        <v>#REF!</v>
      </c>
      <c r="N35" s="96" t="e">
        <f>VLOOKUP(E35,#REF!,11,FALSE)</f>
        <v>#REF!</v>
      </c>
      <c r="O35" s="97" t="e">
        <f>ROUND(K35*L35/1000,0)</f>
        <v>#REF!</v>
      </c>
      <c r="P35" s="95" t="e">
        <f>ROUND(M35*K35/1000,3)</f>
        <v>#REF!</v>
      </c>
      <c r="Q35" s="105" t="e">
        <f>ROUND(K35*N35/1000,3)</f>
        <v>#REF!</v>
      </c>
      <c r="R35" s="112" t="e">
        <f>ROUND(O35+P35*GWP_CH4+Q35*GWP_N2O,0)</f>
        <v>#REF!</v>
      </c>
      <c r="S35" s="501">
        <v>1</v>
      </c>
    </row>
    <row r="36" spans="2:19">
      <c r="B36" s="97"/>
      <c r="C36" s="95"/>
      <c r="D36" s="95"/>
      <c r="E36" s="105" t="s">
        <v>77</v>
      </c>
      <c r="F36" s="97" t="e">
        <f>ROUND(H115,3)</f>
        <v>#REF!</v>
      </c>
      <c r="G36" s="95" t="e">
        <f>VLOOKUP(E36,#REF!,2,FALSE)</f>
        <v>#REF!</v>
      </c>
      <c r="H36" s="95" t="e">
        <f>VLOOKUP(E36,#REF!,3,FALSE)</f>
        <v>#REF!</v>
      </c>
      <c r="I36" s="95" t="e">
        <f>VLOOKUP(E36,#REF!,4,FALSE)</f>
        <v>#REF!</v>
      </c>
      <c r="J36" s="105" t="e">
        <f>VLOOKUP(E36,#REF!,5,FALSE)</f>
        <v>#REF!</v>
      </c>
      <c r="K36" s="96" t="e">
        <f>F36*J36*H36</f>
        <v>#REF!</v>
      </c>
      <c r="L36" s="97" t="e">
        <f>VLOOKUP(E36,#REF!,7,FALSE)</f>
        <v>#REF!</v>
      </c>
      <c r="M36" s="95" t="e">
        <f>VLOOKUP(E36,#REF!,9,FALSE)</f>
        <v>#REF!</v>
      </c>
      <c r="N36" s="96" t="e">
        <f>VLOOKUP(E36,#REF!,11,FALSE)</f>
        <v>#REF!</v>
      </c>
      <c r="O36" s="97" t="e">
        <f>ROUND(K36*L36/1000,0)</f>
        <v>#REF!</v>
      </c>
      <c r="P36" s="95" t="e">
        <f>ROUND(M36*K36/1000,3)</f>
        <v>#REF!</v>
      </c>
      <c r="Q36" s="105" t="e">
        <f>ROUND(K36*N36/1000,3)</f>
        <v>#REF!</v>
      </c>
      <c r="R36" s="112" t="e">
        <f>ROUND(O36+P36*GWP_CH4+Q36*GWP_N2O,0)</f>
        <v>#REF!</v>
      </c>
      <c r="S36" s="501">
        <v>2</v>
      </c>
    </row>
    <row r="37" spans="2:19">
      <c r="B37" s="20" t="s">
        <v>159</v>
      </c>
      <c r="C37" s="14"/>
      <c r="D37" s="101" t="s">
        <v>70</v>
      </c>
      <c r="E37" s="104"/>
      <c r="F37" s="108"/>
      <c r="G37" s="102"/>
      <c r="H37" s="102"/>
      <c r="I37" s="102"/>
      <c r="J37" s="104"/>
      <c r="K37" s="210" t="e">
        <f>SUM(K38:K39)</f>
        <v>#REF!</v>
      </c>
      <c r="L37" s="206"/>
      <c r="M37" s="207"/>
      <c r="N37" s="210"/>
      <c r="O37" s="206" t="e">
        <f>SUM(O38:O39)</f>
        <v>#REF!</v>
      </c>
      <c r="P37" s="207" t="e">
        <f>SUM(P38:P39)</f>
        <v>#REF!</v>
      </c>
      <c r="Q37" s="208" t="e">
        <f>SUM(Q38:Q39)</f>
        <v>#REF!</v>
      </c>
      <c r="R37" s="209" t="e">
        <f>SUM(R38:R39)</f>
        <v>#REF!</v>
      </c>
      <c r="S37" s="501"/>
    </row>
    <row r="38" spans="2:19">
      <c r="B38" s="97"/>
      <c r="C38" s="95"/>
      <c r="D38" s="95"/>
      <c r="E38" s="105" t="s">
        <v>84</v>
      </c>
      <c r="F38" s="460"/>
      <c r="G38" s="95" t="e">
        <f>VLOOKUP(E38,#REF!,2,FALSE)</f>
        <v>#REF!</v>
      </c>
      <c r="H38" s="95" t="e">
        <f>VLOOKUP(E38,#REF!,3,FALSE)</f>
        <v>#REF!</v>
      </c>
      <c r="I38" s="95" t="e">
        <f>VLOOKUP(E38,#REF!,4,FALSE)</f>
        <v>#REF!</v>
      </c>
      <c r="J38" s="105" t="e">
        <f>VLOOKUP(E38,#REF!,5,FALSE)</f>
        <v>#REF!</v>
      </c>
      <c r="K38" s="96" t="e">
        <f>F38*J38*H38</f>
        <v>#REF!</v>
      </c>
      <c r="L38" s="97" t="e">
        <f>VLOOKUP(E38,#REF!,7,FALSE)</f>
        <v>#REF!</v>
      </c>
      <c r="M38" s="95" t="e">
        <f>VLOOKUP(E38,#REF!,9,FALSE)</f>
        <v>#REF!</v>
      </c>
      <c r="N38" s="96" t="e">
        <f>VLOOKUP(E38,#REF!,11,FALSE)</f>
        <v>#REF!</v>
      </c>
      <c r="O38" s="97" t="e">
        <f>ROUND(K38*L38/1000,0)</f>
        <v>#REF!</v>
      </c>
      <c r="P38" s="95" t="e">
        <f>ROUND(M38*K38/1000,3)</f>
        <v>#REF!</v>
      </c>
      <c r="Q38" s="105" t="e">
        <f>ROUND(K38*N38/1000,3)</f>
        <v>#REF!</v>
      </c>
      <c r="R38" s="112" t="e">
        <f>ROUND(O38+P38*GWP_CH4+Q38*GWP_N2O,0)</f>
        <v>#REF!</v>
      </c>
      <c r="S38" s="501">
        <v>1</v>
      </c>
    </row>
    <row r="39" spans="2:19" ht="15.75" thickBot="1">
      <c r="B39" s="109"/>
      <c r="C39" s="98"/>
      <c r="D39" s="98"/>
      <c r="E39" s="99" t="s">
        <v>77</v>
      </c>
      <c r="F39" s="461" t="e">
        <f>IF(#REF!-'II. TRANS (2)'!F36&lt;0,0,#REF!-'II. TRANS (2)'!F36)</f>
        <v>#REF!</v>
      </c>
      <c r="G39" s="98" t="e">
        <f>VLOOKUP(E39,#REF!,2,FALSE)</f>
        <v>#REF!</v>
      </c>
      <c r="H39" s="98" t="e">
        <f>VLOOKUP(E39,#REF!,3,FALSE)</f>
        <v>#REF!</v>
      </c>
      <c r="I39" s="98" t="e">
        <f>VLOOKUP(E39,#REF!,4,FALSE)</f>
        <v>#REF!</v>
      </c>
      <c r="J39" s="106" t="e">
        <f>VLOOKUP(E39,#REF!,5,FALSE)</f>
        <v>#REF!</v>
      </c>
      <c r="K39" s="99" t="e">
        <f>F39*J39*H39</f>
        <v>#REF!</v>
      </c>
      <c r="L39" s="109" t="e">
        <f>VLOOKUP(E39,#REF!,7,FALSE)</f>
        <v>#REF!</v>
      </c>
      <c r="M39" s="98" t="e">
        <f>VLOOKUP(E39,#REF!,9,FALSE)</f>
        <v>#REF!</v>
      </c>
      <c r="N39" s="99" t="e">
        <f>VLOOKUP(E39,#REF!,11,FALSE)</f>
        <v>#REF!</v>
      </c>
      <c r="O39" s="109" t="e">
        <f>ROUND(K39*L39/1000,0)</f>
        <v>#REF!</v>
      </c>
      <c r="P39" s="98" t="e">
        <f>ROUND(M39*K39/1000,3)</f>
        <v>#REF!</v>
      </c>
      <c r="Q39" s="106" t="e">
        <f>ROUND(K39*N39/1000,3)</f>
        <v>#REF!</v>
      </c>
      <c r="R39" s="113" t="e">
        <f>ROUND(O39+P39*GWP_CH4+Q39*GWP_N2O,0)</f>
        <v>#REF!</v>
      </c>
      <c r="S39" s="501">
        <v>2</v>
      </c>
    </row>
    <row r="40" spans="2:19" ht="15.75" thickBot="1">
      <c r="R40" s="621" t="s">
        <v>347</v>
      </c>
      <c r="S40" s="621"/>
    </row>
    <row r="41" spans="2:19" ht="15.75" thickBot="1">
      <c r="B41" s="622" t="s">
        <v>180</v>
      </c>
      <c r="C41" s="623"/>
      <c r="D41" s="623"/>
      <c r="E41" s="623"/>
      <c r="F41" s="623"/>
      <c r="G41" s="624"/>
      <c r="I41" s="622" t="s">
        <v>181</v>
      </c>
      <c r="J41" s="623"/>
      <c r="K41" s="623"/>
      <c r="L41" s="623"/>
      <c r="M41" s="623"/>
      <c r="N41" s="623"/>
      <c r="O41" s="624"/>
      <c r="R41" s="501" t="s">
        <v>340</v>
      </c>
      <c r="S41" s="501" t="s">
        <v>341</v>
      </c>
    </row>
    <row r="42" spans="2:19">
      <c r="B42" s="233"/>
      <c r="C42" s="625" t="s">
        <v>162</v>
      </c>
      <c r="D42" s="625"/>
      <c r="E42" s="625"/>
      <c r="F42" s="625"/>
      <c r="G42" s="189"/>
      <c r="H42" s="188"/>
      <c r="I42" s="233"/>
      <c r="J42" s="203"/>
      <c r="K42" s="625" t="s">
        <v>162</v>
      </c>
      <c r="L42" s="625"/>
      <c r="M42" s="625"/>
      <c r="N42" s="625"/>
      <c r="O42" s="189"/>
      <c r="R42" s="440" t="e">
        <f>SUMIF(S8:S39,"1",R8:R39)</f>
        <v>#REF!</v>
      </c>
      <c r="S42" s="440" t="e">
        <f>SUMIF(S8:S39,"2",R8:R39)</f>
        <v>#REF!</v>
      </c>
    </row>
    <row r="43" spans="2:19">
      <c r="B43" s="234" t="s">
        <v>179</v>
      </c>
      <c r="C43" s="232" t="s">
        <v>169</v>
      </c>
      <c r="D43" s="232" t="s">
        <v>170</v>
      </c>
      <c r="E43" s="232" t="s">
        <v>171</v>
      </c>
      <c r="F43" s="232" t="s">
        <v>172</v>
      </c>
      <c r="G43" s="190" t="s">
        <v>97</v>
      </c>
      <c r="I43" s="234" t="s">
        <v>179</v>
      </c>
      <c r="J43" s="232"/>
      <c r="K43" s="232" t="s">
        <v>169</v>
      </c>
      <c r="L43" s="232" t="s">
        <v>170</v>
      </c>
      <c r="M43" s="232" t="s">
        <v>171</v>
      </c>
      <c r="N43" s="232" t="s">
        <v>172</v>
      </c>
      <c r="O43" s="190" t="s">
        <v>97</v>
      </c>
    </row>
    <row r="44" spans="2:19">
      <c r="B44" s="235" t="s">
        <v>173</v>
      </c>
      <c r="C44" s="442">
        <v>0</v>
      </c>
      <c r="D44" s="442">
        <f>pojazdy_przeliczenie!Q5</f>
        <v>0</v>
      </c>
      <c r="E44" s="506">
        <v>18</v>
      </c>
      <c r="F44" s="442">
        <f>pojazdy_przeliczenie!S5</f>
        <v>0</v>
      </c>
      <c r="G44" s="200">
        <f>SUM(C44:F44)</f>
        <v>18</v>
      </c>
      <c r="I44" s="235" t="s">
        <v>173</v>
      </c>
      <c r="J44" s="202"/>
      <c r="K44" s="236" t="e">
        <f>C44*#REF!*#REF!/100</f>
        <v>#REF!</v>
      </c>
      <c r="L44" s="236" t="e">
        <f>D44*#REF!*#REF!/100</f>
        <v>#REF!</v>
      </c>
      <c r="M44" s="236" t="e">
        <f>E44*#REF!*#REF!/100</f>
        <v>#REF!</v>
      </c>
      <c r="N44" s="236" t="e">
        <f>F44*#REF!*#REF!/100</f>
        <v>#REF!</v>
      </c>
      <c r="O44" s="200" t="e">
        <f t="shared" ref="O44:O49" si="15">SUM(K44:N44)</f>
        <v>#REF!</v>
      </c>
    </row>
    <row r="45" spans="2:19">
      <c r="B45" s="235" t="s">
        <v>174</v>
      </c>
      <c r="C45" s="442">
        <f>pojazdy_przeliczenie!P6</f>
        <v>0</v>
      </c>
      <c r="D45" s="442">
        <f>pojazdy_przeliczenie!Q6</f>
        <v>0</v>
      </c>
      <c r="E45" s="442">
        <v>65</v>
      </c>
      <c r="F45" s="442">
        <f>pojazdy_przeliczenie!S6</f>
        <v>0</v>
      </c>
      <c r="G45" s="200">
        <f t="shared" ref="G45:G49" si="16">SUM(C45:F45)</f>
        <v>65</v>
      </c>
      <c r="I45" s="235" t="s">
        <v>174</v>
      </c>
      <c r="J45" s="202"/>
      <c r="K45" s="236" t="e">
        <f>C45*#REF!*#REF!/100</f>
        <v>#REF!</v>
      </c>
      <c r="L45" s="236" t="e">
        <f>D45*#REF!*#REF!/100</f>
        <v>#REF!</v>
      </c>
      <c r="M45" s="236" t="e">
        <f>E45*#REF!*#REF!/100</f>
        <v>#REF!</v>
      </c>
      <c r="N45" s="236" t="e">
        <f>F45*#REF!*#REF!/100</f>
        <v>#REF!</v>
      </c>
      <c r="O45" s="200" t="e">
        <f t="shared" si="15"/>
        <v>#REF!</v>
      </c>
    </row>
    <row r="46" spans="2:19">
      <c r="B46" s="235" t="s">
        <v>175</v>
      </c>
      <c r="C46" s="506">
        <v>14892</v>
      </c>
      <c r="D46" s="506">
        <v>489</v>
      </c>
      <c r="E46" s="506">
        <v>199</v>
      </c>
      <c r="F46" s="506">
        <v>0</v>
      </c>
      <c r="G46" s="200">
        <f t="shared" si="16"/>
        <v>15580</v>
      </c>
      <c r="I46" s="235" t="s">
        <v>175</v>
      </c>
      <c r="J46" s="202"/>
      <c r="K46" s="236" t="e">
        <f>C46*#REF!*#REF!/100</f>
        <v>#REF!</v>
      </c>
      <c r="L46" s="236" t="e">
        <f>D46*#REF!*#REF!/100</f>
        <v>#REF!</v>
      </c>
      <c r="M46" s="236" t="e">
        <f>E46*#REF!*#REF!/100</f>
        <v>#REF!</v>
      </c>
      <c r="N46" s="236" t="e">
        <f>F46*#REF!*#REF!/100</f>
        <v>#REF!</v>
      </c>
      <c r="O46" s="200" t="e">
        <f t="shared" si="15"/>
        <v>#REF!</v>
      </c>
    </row>
    <row r="47" spans="2:19">
      <c r="B47" s="235" t="s">
        <v>176</v>
      </c>
      <c r="C47" s="506">
        <v>3605</v>
      </c>
      <c r="D47" s="506">
        <v>4307</v>
      </c>
      <c r="E47" s="506">
        <v>3900</v>
      </c>
      <c r="F47" s="442">
        <f>pojazdy_przeliczenie!S8</f>
        <v>0</v>
      </c>
      <c r="G47" s="200">
        <f t="shared" si="16"/>
        <v>11812</v>
      </c>
      <c r="I47" s="235" t="s">
        <v>176</v>
      </c>
      <c r="J47" s="202"/>
      <c r="K47" s="236" t="e">
        <f>C47*#REF!*#REF!/100</f>
        <v>#REF!</v>
      </c>
      <c r="L47" s="236" t="e">
        <f>D47*#REF!*#REF!/100</f>
        <v>#REF!</v>
      </c>
      <c r="M47" s="236" t="e">
        <f>E47*#REF!*#REF!/100</f>
        <v>#REF!</v>
      </c>
      <c r="N47" s="236" t="e">
        <f>F47*#REF!*#REF!/100</f>
        <v>#REF!</v>
      </c>
      <c r="O47" s="200" t="e">
        <f t="shared" si="15"/>
        <v>#REF!</v>
      </c>
    </row>
    <row r="48" spans="2:19">
      <c r="B48" s="235" t="s">
        <v>177</v>
      </c>
      <c r="C48" s="506">
        <v>107037</v>
      </c>
      <c r="D48" s="506">
        <v>83034</v>
      </c>
      <c r="E48" s="506">
        <v>9063</v>
      </c>
      <c r="F48" s="506">
        <f>pojazdy_przeliczenie!S9</f>
        <v>0</v>
      </c>
      <c r="G48" s="200">
        <f t="shared" si="16"/>
        <v>199134</v>
      </c>
      <c r="I48" s="235" t="s">
        <v>177</v>
      </c>
      <c r="J48" s="202"/>
      <c r="K48" s="236" t="e">
        <f>C48*#REF!*#REF!/100</f>
        <v>#REF!</v>
      </c>
      <c r="L48" s="236" t="e">
        <f>D48*#REF!*#REF!/100</f>
        <v>#REF!</v>
      </c>
      <c r="M48" s="236" t="e">
        <f>E48*#REF!*#REF!/100</f>
        <v>#REF!</v>
      </c>
      <c r="N48" s="236" t="e">
        <f>F48*#REF!*#REF!/100</f>
        <v>#REF!</v>
      </c>
      <c r="O48" s="200" t="e">
        <f t="shared" si="15"/>
        <v>#REF!</v>
      </c>
    </row>
    <row r="49" spans="2:15">
      <c r="B49" s="235" t="s">
        <v>178</v>
      </c>
      <c r="C49" s="506">
        <f>pojazdy_przeliczenie!P10</f>
        <v>2</v>
      </c>
      <c r="D49" s="506">
        <v>94</v>
      </c>
      <c r="E49" s="506">
        <v>233</v>
      </c>
      <c r="F49" s="506">
        <f>pojazdy_przeliczenie!S10</f>
        <v>0</v>
      </c>
      <c r="G49" s="200">
        <f t="shared" si="16"/>
        <v>329</v>
      </c>
      <c r="I49" s="235" t="s">
        <v>178</v>
      </c>
      <c r="J49" s="202"/>
      <c r="K49" s="236" t="e">
        <f>C49*#REF!*#REF!/100</f>
        <v>#REF!</v>
      </c>
      <c r="L49" s="236" t="e">
        <f>D49*#REF!*#REF!/100</f>
        <v>#REF!</v>
      </c>
      <c r="M49" s="236" t="e">
        <f>E49*#REF!*#REF!/100</f>
        <v>#REF!</v>
      </c>
      <c r="N49" s="236" t="e">
        <f>F49*#REF!*#REF!/100</f>
        <v>#REF!</v>
      </c>
      <c r="O49" s="200" t="e">
        <f t="shared" si="15"/>
        <v>#REF!</v>
      </c>
    </row>
    <row r="50" spans="2:15">
      <c r="B50" s="237"/>
      <c r="C50" s="610" t="s">
        <v>168</v>
      </c>
      <c r="D50" s="610"/>
      <c r="E50" s="610"/>
      <c r="F50" s="610"/>
      <c r="G50" s="191"/>
      <c r="I50" s="237"/>
      <c r="J50" s="197"/>
      <c r="K50" s="610" t="s">
        <v>168</v>
      </c>
      <c r="L50" s="610"/>
      <c r="M50" s="610"/>
      <c r="N50" s="610"/>
      <c r="O50" s="191"/>
    </row>
    <row r="51" spans="2:15">
      <c r="B51" s="234" t="s">
        <v>179</v>
      </c>
      <c r="C51" s="232" t="s">
        <v>169</v>
      </c>
      <c r="D51" s="232" t="s">
        <v>170</v>
      </c>
      <c r="E51" s="232" t="s">
        <v>171</v>
      </c>
      <c r="F51" s="232" t="s">
        <v>172</v>
      </c>
      <c r="G51" s="190" t="s">
        <v>97</v>
      </c>
      <c r="I51" s="234" t="s">
        <v>179</v>
      </c>
      <c r="J51" s="232"/>
      <c r="K51" s="232" t="s">
        <v>169</v>
      </c>
      <c r="L51" s="232" t="s">
        <v>170</v>
      </c>
      <c r="M51" s="232" t="s">
        <v>171</v>
      </c>
      <c r="N51" s="232" t="s">
        <v>172</v>
      </c>
      <c r="O51" s="190" t="s">
        <v>97</v>
      </c>
    </row>
    <row r="52" spans="2:15">
      <c r="B52" s="235" t="s">
        <v>173</v>
      </c>
      <c r="C52" s="506">
        <f>pojazdy_przeliczenie!P13</f>
        <v>2</v>
      </c>
      <c r="D52" s="506">
        <f>pojazdy_przeliczenie!Q13</f>
        <v>2</v>
      </c>
      <c r="E52" s="506">
        <v>1547</v>
      </c>
      <c r="F52" s="506">
        <v>25</v>
      </c>
      <c r="G52" s="200">
        <f t="shared" ref="G52:G57" si="17">SUM(C52:F52)</f>
        <v>1576</v>
      </c>
      <c r="I52" s="235" t="s">
        <v>173</v>
      </c>
      <c r="J52" s="202"/>
      <c r="K52" s="236" t="e">
        <f>C52*#REF!*#REF!/100</f>
        <v>#REF!</v>
      </c>
      <c r="L52" s="236" t="e">
        <f>D52*#REF!*#REF!/100</f>
        <v>#REF!</v>
      </c>
      <c r="M52" s="236" t="e">
        <f>E52*#REF!*#REF!/100</f>
        <v>#REF!</v>
      </c>
      <c r="N52" s="236" t="e">
        <f>F52*#REF!*#REF!/100</f>
        <v>#REF!</v>
      </c>
      <c r="O52" s="200" t="e">
        <f t="shared" ref="O52:O57" si="18">SUM(K52:N52)</f>
        <v>#REF!</v>
      </c>
    </row>
    <row r="53" spans="2:15">
      <c r="B53" s="235" t="s">
        <v>174</v>
      </c>
      <c r="C53" s="506">
        <v>4</v>
      </c>
      <c r="D53" s="506">
        <v>3</v>
      </c>
      <c r="E53" s="506">
        <v>5292</v>
      </c>
      <c r="F53" s="506">
        <v>17</v>
      </c>
      <c r="G53" s="200">
        <f t="shared" si="17"/>
        <v>5316</v>
      </c>
      <c r="I53" s="235" t="s">
        <v>174</v>
      </c>
      <c r="J53" s="202"/>
      <c r="K53" s="236" t="e">
        <f>C53*#REF!*#REF!/100</f>
        <v>#REF!</v>
      </c>
      <c r="L53" s="236" t="e">
        <f>D53*#REF!*#REF!/100</f>
        <v>#REF!</v>
      </c>
      <c r="M53" s="236" t="e">
        <f>E53*#REF!*#REF!/100</f>
        <v>#REF!</v>
      </c>
      <c r="N53" s="236" t="e">
        <f>F53*#REF!*#REF!/100</f>
        <v>#REF!</v>
      </c>
      <c r="O53" s="200" t="e">
        <f t="shared" si="18"/>
        <v>#REF!</v>
      </c>
    </row>
    <row r="54" spans="2:15">
      <c r="B54" s="235" t="s">
        <v>175</v>
      </c>
      <c r="C54" s="506">
        <f>pojazdy_przeliczenie!P15</f>
        <v>8</v>
      </c>
      <c r="D54" s="506">
        <f>pojazdy_przeliczenie!Q15</f>
        <v>0</v>
      </c>
      <c r="E54" s="506">
        <f>pojazdy_przeliczenie!R15</f>
        <v>0</v>
      </c>
      <c r="F54" s="506">
        <f>pojazdy_przeliczenie!S15</f>
        <v>0</v>
      </c>
      <c r="G54" s="507">
        <f t="shared" si="17"/>
        <v>8</v>
      </c>
      <c r="I54" s="235" t="s">
        <v>175</v>
      </c>
      <c r="J54" s="202"/>
      <c r="K54" s="236" t="e">
        <f>C54*#REF!*#REF!/100</f>
        <v>#REF!</v>
      </c>
      <c r="L54" s="236" t="e">
        <f>D54*#REF!*#REF!/100</f>
        <v>#REF!</v>
      </c>
      <c r="M54" s="236" t="e">
        <f>E54*#REF!*#REF!/100</f>
        <v>#REF!</v>
      </c>
      <c r="N54" s="236" t="e">
        <f>F54*#REF!*#REF!/100</f>
        <v>#REF!</v>
      </c>
      <c r="O54" s="200" t="e">
        <f t="shared" si="18"/>
        <v>#REF!</v>
      </c>
    </row>
    <row r="55" spans="2:15">
      <c r="B55" s="235" t="s">
        <v>176</v>
      </c>
      <c r="C55" s="506">
        <v>2161</v>
      </c>
      <c r="D55" s="506">
        <v>11166</v>
      </c>
      <c r="E55" s="506">
        <v>26988</v>
      </c>
      <c r="F55" s="506">
        <v>388</v>
      </c>
      <c r="G55" s="507">
        <f t="shared" si="17"/>
        <v>40703</v>
      </c>
      <c r="I55" s="235" t="s">
        <v>176</v>
      </c>
      <c r="J55" s="202"/>
      <c r="K55" s="236" t="e">
        <f>C55*#REF!*#REF!/100</f>
        <v>#REF!</v>
      </c>
      <c r="L55" s="236" t="e">
        <f>D55*#REF!*#REF!/100</f>
        <v>#REF!</v>
      </c>
      <c r="M55" s="236" t="e">
        <f>E55*#REF!*#REF!/100</f>
        <v>#REF!</v>
      </c>
      <c r="N55" s="236" t="e">
        <f>F55*#REF!*#REF!/100</f>
        <v>#REF!</v>
      </c>
      <c r="O55" s="200" t="e">
        <f t="shared" si="18"/>
        <v>#REF!</v>
      </c>
    </row>
    <row r="56" spans="2:15">
      <c r="B56" s="235" t="s">
        <v>177</v>
      </c>
      <c r="C56" s="506">
        <v>5516</v>
      </c>
      <c r="D56" s="506">
        <v>84173</v>
      </c>
      <c r="E56" s="506">
        <v>19427</v>
      </c>
      <c r="F56" s="442">
        <v>0</v>
      </c>
      <c r="G56" s="507">
        <f t="shared" si="17"/>
        <v>109116</v>
      </c>
      <c r="I56" s="235" t="s">
        <v>177</v>
      </c>
      <c r="J56" s="202"/>
      <c r="K56" s="236" t="e">
        <f>C56*#REF!*#REF!/100</f>
        <v>#REF!</v>
      </c>
      <c r="L56" s="236" t="e">
        <f>D56*#REF!*#REF!/100</f>
        <v>#REF!</v>
      </c>
      <c r="M56" s="236" t="e">
        <f>E56*#REF!*#REF!/100</f>
        <v>#REF!</v>
      </c>
      <c r="N56" s="236" t="e">
        <f>F56*#REF!*#REF!/100</f>
        <v>#REF!</v>
      </c>
      <c r="O56" s="200" t="e">
        <f t="shared" si="18"/>
        <v>#REF!</v>
      </c>
    </row>
    <row r="57" spans="2:15">
      <c r="B57" s="235" t="s">
        <v>178</v>
      </c>
      <c r="C57" s="506">
        <v>27</v>
      </c>
      <c r="D57" s="506">
        <v>239</v>
      </c>
      <c r="E57" s="506">
        <v>2027</v>
      </c>
      <c r="F57" s="506">
        <v>148</v>
      </c>
      <c r="G57" s="200">
        <f t="shared" si="17"/>
        <v>2441</v>
      </c>
      <c r="I57" s="235" t="s">
        <v>178</v>
      </c>
      <c r="J57" s="202"/>
      <c r="K57" s="236" t="e">
        <f>C57*#REF!*#REF!/100</f>
        <v>#REF!</v>
      </c>
      <c r="L57" s="236" t="e">
        <f>D57*#REF!*#REF!/100</f>
        <v>#REF!</v>
      </c>
      <c r="M57" s="236" t="e">
        <f>E57*#REF!*#REF!/100</f>
        <v>#REF!</v>
      </c>
      <c r="N57" s="236" t="e">
        <f>F57*#REF!*#REF!/100</f>
        <v>#REF!</v>
      </c>
      <c r="O57" s="200" t="e">
        <f t="shared" si="18"/>
        <v>#REF!</v>
      </c>
    </row>
    <row r="58" spans="2:15">
      <c r="B58" s="237"/>
      <c r="C58" s="610" t="s">
        <v>166</v>
      </c>
      <c r="D58" s="610"/>
      <c r="E58" s="610"/>
      <c r="F58" s="197"/>
      <c r="G58" s="191"/>
      <c r="I58" s="237"/>
      <c r="J58" s="197"/>
      <c r="K58" s="610" t="s">
        <v>166</v>
      </c>
      <c r="L58" s="610"/>
      <c r="M58" s="610"/>
      <c r="N58" s="197"/>
      <c r="O58" s="191"/>
    </row>
    <row r="59" spans="2:15">
      <c r="B59" s="234" t="s">
        <v>179</v>
      </c>
      <c r="C59" s="232" t="s">
        <v>169</v>
      </c>
      <c r="D59" s="232" t="s">
        <v>170</v>
      </c>
      <c r="E59" s="232" t="s">
        <v>171</v>
      </c>
      <c r="F59" s="232" t="s">
        <v>172</v>
      </c>
      <c r="G59" s="190" t="s">
        <v>97</v>
      </c>
      <c r="I59" s="234" t="s">
        <v>179</v>
      </c>
      <c r="J59" s="232"/>
      <c r="K59" s="232" t="s">
        <v>169</v>
      </c>
      <c r="L59" s="232" t="s">
        <v>170</v>
      </c>
      <c r="M59" s="232" t="s">
        <v>171</v>
      </c>
      <c r="N59" s="232" t="s">
        <v>172</v>
      </c>
      <c r="O59" s="190" t="s">
        <v>97</v>
      </c>
    </row>
    <row r="60" spans="2:15">
      <c r="B60" s="235" t="s">
        <v>173</v>
      </c>
      <c r="C60" s="506">
        <f>pojazdy_przeliczenie!P21</f>
        <v>0</v>
      </c>
      <c r="D60" s="506">
        <f>pojazdy_przeliczenie!Q21</f>
        <v>0</v>
      </c>
      <c r="E60" s="506">
        <f>pojazdy_przeliczenie!R21</f>
        <v>0</v>
      </c>
      <c r="F60" s="506">
        <f>pojazdy_przeliczenie!S21</f>
        <v>0</v>
      </c>
      <c r="G60" s="507">
        <f t="shared" ref="G60:G65" si="19">SUM(C60:F60)</f>
        <v>0</v>
      </c>
      <c r="I60" s="235" t="s">
        <v>173</v>
      </c>
      <c r="J60" s="202"/>
      <c r="K60" s="236" t="e">
        <f>C60*#REF!*#REF!/100</f>
        <v>#REF!</v>
      </c>
      <c r="L60" s="236" t="e">
        <f>D60*#REF!*#REF!/100</f>
        <v>#REF!</v>
      </c>
      <c r="M60" s="236" t="e">
        <f>E60*#REF!*#REF!/100</f>
        <v>#REF!</v>
      </c>
      <c r="N60" s="236" t="e">
        <f>F60*#REF!*#REF!/100</f>
        <v>#REF!</v>
      </c>
      <c r="O60" s="200" t="e">
        <f t="shared" ref="O60:O65" si="20">SUM(K60:N60)</f>
        <v>#REF!</v>
      </c>
    </row>
    <row r="61" spans="2:15">
      <c r="B61" s="235" t="s">
        <v>174</v>
      </c>
      <c r="C61" s="442">
        <f>pojazdy_przeliczenie!P22</f>
        <v>0</v>
      </c>
      <c r="D61" s="442">
        <f>pojazdy_przeliczenie!Q22</f>
        <v>0</v>
      </c>
      <c r="E61" s="442">
        <v>1</v>
      </c>
      <c r="F61" s="442">
        <f>pojazdy_przeliczenie!S22</f>
        <v>0</v>
      </c>
      <c r="G61" s="200">
        <f t="shared" si="19"/>
        <v>1</v>
      </c>
      <c r="I61" s="235" t="s">
        <v>174</v>
      </c>
      <c r="J61" s="202"/>
      <c r="K61" s="236" t="e">
        <f>C61*#REF!*#REF!/100</f>
        <v>#REF!</v>
      </c>
      <c r="L61" s="236" t="e">
        <f>D61*#REF!*#REF!/100</f>
        <v>#REF!</v>
      </c>
      <c r="M61" s="236" t="e">
        <f>E61*#REF!*#REF!/100</f>
        <v>#REF!</v>
      </c>
      <c r="N61" s="236" t="e">
        <f>F61*#REF!*#REF!/100</f>
        <v>#REF!</v>
      </c>
      <c r="O61" s="200" t="e">
        <f t="shared" si="20"/>
        <v>#REF!</v>
      </c>
    </row>
    <row r="62" spans="2:15">
      <c r="B62" s="235" t="s">
        <v>175</v>
      </c>
      <c r="C62" s="442">
        <f>pojazdy_przeliczenie!P23</f>
        <v>0</v>
      </c>
      <c r="D62" s="442">
        <v>1</v>
      </c>
      <c r="E62" s="442">
        <f>pojazdy_przeliczenie!R23</f>
        <v>0</v>
      </c>
      <c r="F62" s="442">
        <f>pojazdy_przeliczenie!S23</f>
        <v>0</v>
      </c>
      <c r="G62" s="200">
        <f t="shared" si="19"/>
        <v>1</v>
      </c>
      <c r="H62" s="3">
        <f>E63/G63</f>
        <v>0.14383561643835616</v>
      </c>
      <c r="I62" s="235" t="s">
        <v>175</v>
      </c>
      <c r="J62" s="202"/>
      <c r="K62" s="236" t="e">
        <f>C62*#REF!*#REF!/100</f>
        <v>#REF!</v>
      </c>
      <c r="L62" s="236" t="e">
        <f>D62*#REF!*#REF!/100</f>
        <v>#REF!</v>
      </c>
      <c r="M62" s="236" t="e">
        <f>E62*#REF!*#REF!/100</f>
        <v>#REF!</v>
      </c>
      <c r="N62" s="236" t="e">
        <f>F62*#REF!*#REF!/100</f>
        <v>#REF!</v>
      </c>
      <c r="O62" s="200" t="e">
        <f t="shared" si="20"/>
        <v>#REF!</v>
      </c>
    </row>
    <row r="63" spans="2:15">
      <c r="B63" s="235" t="s">
        <v>176</v>
      </c>
      <c r="C63" s="506">
        <v>1172</v>
      </c>
      <c r="D63" s="506">
        <v>828</v>
      </c>
      <c r="E63" s="506">
        <v>336</v>
      </c>
      <c r="F63" s="506">
        <f>pojazdy_przeliczenie!S24</f>
        <v>0</v>
      </c>
      <c r="G63" s="507">
        <f t="shared" si="19"/>
        <v>2336</v>
      </c>
      <c r="H63" s="3">
        <f>H62*2336</f>
        <v>336</v>
      </c>
      <c r="I63" s="235" t="s">
        <v>176</v>
      </c>
      <c r="J63" s="202"/>
      <c r="K63" s="236" t="e">
        <f>C63*#REF!*#REF!/100</f>
        <v>#REF!</v>
      </c>
      <c r="L63" s="236" t="e">
        <f>D63*#REF!*#REF!/100</f>
        <v>#REF!</v>
      </c>
      <c r="M63" s="236" t="e">
        <f>E63*#REF!*#REF!/100</f>
        <v>#REF!</v>
      </c>
      <c r="N63" s="236" t="e">
        <f>F63*#REF!*#REF!/100</f>
        <v>#REF!</v>
      </c>
      <c r="O63" s="200" t="e">
        <f t="shared" si="20"/>
        <v>#REF!</v>
      </c>
    </row>
    <row r="64" spans="2:15">
      <c r="B64" s="235" t="s">
        <v>177</v>
      </c>
      <c r="C64" s="506">
        <v>7709</v>
      </c>
      <c r="D64" s="506">
        <v>17696</v>
      </c>
      <c r="E64" s="506">
        <v>3860</v>
      </c>
      <c r="F64" s="506">
        <f>pojazdy_przeliczenie!S25</f>
        <v>0</v>
      </c>
      <c r="G64" s="507">
        <f t="shared" si="19"/>
        <v>29265</v>
      </c>
      <c r="I64" s="235" t="s">
        <v>177</v>
      </c>
      <c r="J64" s="202"/>
      <c r="K64" s="236" t="e">
        <f>C64*#REF!*#REF!/100</f>
        <v>#REF!</v>
      </c>
      <c r="L64" s="236" t="e">
        <f>D64*#REF!*#REF!/100</f>
        <v>#REF!</v>
      </c>
      <c r="M64" s="236" t="e">
        <f>E64*#REF!*#REF!/100</f>
        <v>#REF!</v>
      </c>
      <c r="N64" s="236" t="e">
        <f>F64*#REF!*#REF!/100</f>
        <v>#REF!</v>
      </c>
      <c r="O64" s="200" t="e">
        <f t="shared" si="20"/>
        <v>#REF!</v>
      </c>
    </row>
    <row r="65" spans="2:15">
      <c r="B65" s="235" t="s">
        <v>178</v>
      </c>
      <c r="C65" s="442">
        <v>9</v>
      </c>
      <c r="D65" s="442">
        <v>20</v>
      </c>
      <c r="E65" s="442">
        <v>19</v>
      </c>
      <c r="F65" s="442">
        <f>pojazdy_przeliczenie!S26</f>
        <v>0</v>
      </c>
      <c r="G65" s="200">
        <f t="shared" si="19"/>
        <v>48</v>
      </c>
      <c r="I65" s="235" t="s">
        <v>178</v>
      </c>
      <c r="J65" s="202"/>
      <c r="K65" s="236" t="e">
        <f>C65*#REF!*#REF!/100</f>
        <v>#REF!</v>
      </c>
      <c r="L65" s="236" t="e">
        <f>D65*#REF!*#REF!/100</f>
        <v>#REF!</v>
      </c>
      <c r="M65" s="236" t="e">
        <f>E65*#REF!*#REF!/100</f>
        <v>#REF!</v>
      </c>
      <c r="N65" s="236" t="e">
        <f>F65*#REF!*#REF!/100</f>
        <v>#REF!</v>
      </c>
      <c r="O65" s="200" t="e">
        <f t="shared" si="20"/>
        <v>#REF!</v>
      </c>
    </row>
    <row r="66" spans="2:15">
      <c r="B66" s="237"/>
      <c r="C66" s="610" t="s">
        <v>167</v>
      </c>
      <c r="D66" s="610"/>
      <c r="E66" s="610"/>
      <c r="F66" s="610"/>
      <c r="G66" s="191"/>
      <c r="I66" s="237"/>
      <c r="J66" s="197"/>
      <c r="K66" s="610" t="s">
        <v>167</v>
      </c>
      <c r="L66" s="610"/>
      <c r="M66" s="610"/>
      <c r="N66" s="610"/>
      <c r="O66" s="191"/>
    </row>
    <row r="67" spans="2:15">
      <c r="B67" s="234" t="s">
        <v>179</v>
      </c>
      <c r="C67" s="232" t="s">
        <v>169</v>
      </c>
      <c r="D67" s="232" t="s">
        <v>170</v>
      </c>
      <c r="E67" s="232" t="s">
        <v>171</v>
      </c>
      <c r="F67" s="232" t="s">
        <v>172</v>
      </c>
      <c r="G67" s="190" t="s">
        <v>97</v>
      </c>
      <c r="I67" s="234" t="s">
        <v>179</v>
      </c>
      <c r="J67" s="232"/>
      <c r="K67" s="232" t="s">
        <v>169</v>
      </c>
      <c r="L67" s="232" t="s">
        <v>170</v>
      </c>
      <c r="M67" s="232" t="s">
        <v>171</v>
      </c>
      <c r="N67" s="232" t="s">
        <v>172</v>
      </c>
      <c r="O67" s="190" t="s">
        <v>97</v>
      </c>
    </row>
    <row r="68" spans="2:15">
      <c r="B68" s="235" t="s">
        <v>173</v>
      </c>
      <c r="C68" s="442">
        <f>pojazdy_przeliczenie!P29</f>
        <v>0</v>
      </c>
      <c r="D68" s="442">
        <f>pojazdy_przeliczenie!Q29</f>
        <v>0</v>
      </c>
      <c r="E68" s="442">
        <v>6</v>
      </c>
      <c r="F68" s="442">
        <f>pojazdy_przeliczenie!S29</f>
        <v>0</v>
      </c>
      <c r="G68" s="200">
        <f t="shared" ref="G68:G73" si="21">SUM(C68:F68)</f>
        <v>6</v>
      </c>
      <c r="I68" s="235" t="s">
        <v>173</v>
      </c>
      <c r="J68" s="202"/>
      <c r="K68" s="236" t="e">
        <f>C68*#REF!*#REF!/100</f>
        <v>#REF!</v>
      </c>
      <c r="L68" s="236" t="e">
        <f>D68*#REF!*#REF!/100</f>
        <v>#REF!</v>
      </c>
      <c r="M68" s="236" t="e">
        <f>E68*#REF!*#REF!/100</f>
        <v>#REF!</v>
      </c>
      <c r="N68" s="236" t="e">
        <f>F68*#REF!*#REF!/100</f>
        <v>#REF!</v>
      </c>
      <c r="O68" s="200" t="e">
        <f t="shared" ref="O68:O73" si="22">SUM(K68:N68)</f>
        <v>#REF!</v>
      </c>
    </row>
    <row r="69" spans="2:15">
      <c r="B69" s="235" t="s">
        <v>174</v>
      </c>
      <c r="C69" s="442">
        <f>pojazdy_przeliczenie!P30</f>
        <v>0</v>
      </c>
      <c r="D69" s="442">
        <f>pojazdy_przeliczenie!Q30</f>
        <v>0</v>
      </c>
      <c r="E69" s="442">
        <f>pojazdy_przeliczenie!R30</f>
        <v>0</v>
      </c>
      <c r="F69" s="442">
        <f>pojazdy_przeliczenie!S30</f>
        <v>0</v>
      </c>
      <c r="G69" s="200">
        <f t="shared" si="21"/>
        <v>0</v>
      </c>
      <c r="I69" s="235" t="s">
        <v>174</v>
      </c>
      <c r="J69" s="202"/>
      <c r="K69" s="236" t="e">
        <f>C69*#REF!*#REF!/100</f>
        <v>#REF!</v>
      </c>
      <c r="L69" s="236" t="e">
        <f>D69*#REF!*#REF!/100</f>
        <v>#REF!</v>
      </c>
      <c r="M69" s="236" t="e">
        <f>E69*#REF!*#REF!/100</f>
        <v>#REF!</v>
      </c>
      <c r="N69" s="236" t="e">
        <f>F69*#REF!*#REF!/100</f>
        <v>#REF!</v>
      </c>
      <c r="O69" s="200" t="e">
        <f t="shared" si="22"/>
        <v>#REF!</v>
      </c>
    </row>
    <row r="70" spans="2:15">
      <c r="B70" s="235" t="s">
        <v>175</v>
      </c>
      <c r="C70" s="442">
        <f>pojazdy_przeliczenie!P31</f>
        <v>0</v>
      </c>
      <c r="D70" s="442">
        <f>pojazdy_przeliczenie!Q31</f>
        <v>0</v>
      </c>
      <c r="E70" s="442">
        <f>pojazdy_przeliczenie!R31</f>
        <v>0</v>
      </c>
      <c r="F70" s="442">
        <f>pojazdy_przeliczenie!S31</f>
        <v>0</v>
      </c>
      <c r="G70" s="200">
        <f t="shared" si="21"/>
        <v>0</v>
      </c>
      <c r="I70" s="235" t="s">
        <v>175</v>
      </c>
      <c r="J70" s="202"/>
      <c r="K70" s="236" t="e">
        <f>C70*#REF!*#REF!/100</f>
        <v>#REF!</v>
      </c>
      <c r="L70" s="236" t="e">
        <f>D70*#REF!*#REF!/100</f>
        <v>#REF!</v>
      </c>
      <c r="M70" s="236" t="e">
        <f>E70*#REF!*#REF!/100</f>
        <v>#REF!</v>
      </c>
      <c r="N70" s="236" t="e">
        <f>F70*#REF!*#REF!/100</f>
        <v>#REF!</v>
      </c>
      <c r="O70" s="200" t="e">
        <f t="shared" si="22"/>
        <v>#REF!</v>
      </c>
    </row>
    <row r="71" spans="2:15">
      <c r="B71" s="235" t="s">
        <v>176</v>
      </c>
      <c r="C71" s="442">
        <f>pojazdy_przeliczenie!P32</f>
        <v>50</v>
      </c>
      <c r="D71" s="442">
        <f>pojazdy_przeliczenie!Q32</f>
        <v>66</v>
      </c>
      <c r="E71" s="442">
        <f>pojazdy_przeliczenie!R32</f>
        <v>48</v>
      </c>
      <c r="F71" s="442">
        <f>pojazdy_przeliczenie!S32</f>
        <v>0</v>
      </c>
      <c r="G71" s="200">
        <f t="shared" si="21"/>
        <v>164</v>
      </c>
      <c r="I71" s="235" t="s">
        <v>176</v>
      </c>
      <c r="J71" s="202"/>
      <c r="K71" s="236" t="e">
        <f>C71*#REF!*#REF!/100</f>
        <v>#REF!</v>
      </c>
      <c r="L71" s="236" t="e">
        <f>D71*#REF!*#REF!/100</f>
        <v>#REF!</v>
      </c>
      <c r="M71" s="236" t="e">
        <f>E71*#REF!*#REF!/100</f>
        <v>#REF!</v>
      </c>
      <c r="N71" s="236" t="e">
        <f>F71*#REF!*#REF!/100</f>
        <v>#REF!</v>
      </c>
      <c r="O71" s="200" t="e">
        <f t="shared" si="22"/>
        <v>#REF!</v>
      </c>
    </row>
    <row r="72" spans="2:15">
      <c r="B72" s="235" t="s">
        <v>177</v>
      </c>
      <c r="C72" s="442">
        <v>34</v>
      </c>
      <c r="D72" s="442">
        <v>116</v>
      </c>
      <c r="E72" s="442">
        <v>11</v>
      </c>
      <c r="F72" s="442">
        <f>pojazdy_przeliczenie!S33</f>
        <v>0</v>
      </c>
      <c r="G72" s="200">
        <f t="shared" si="21"/>
        <v>161</v>
      </c>
      <c r="I72" s="235" t="s">
        <v>177</v>
      </c>
      <c r="J72" s="202"/>
      <c r="K72" s="236" t="e">
        <f>C72*#REF!*#REF!/100</f>
        <v>#REF!</v>
      </c>
      <c r="L72" s="236" t="e">
        <f>D72*#REF!*#REF!/100</f>
        <v>#REF!</v>
      </c>
      <c r="M72" s="236" t="e">
        <f>E72*#REF!*#REF!/100</f>
        <v>#REF!</v>
      </c>
      <c r="N72" s="236" t="e">
        <f>F72*#REF!*#REF!/100</f>
        <v>#REF!</v>
      </c>
      <c r="O72" s="200" t="e">
        <f t="shared" si="22"/>
        <v>#REF!</v>
      </c>
    </row>
    <row r="73" spans="2:15">
      <c r="B73" s="235" t="s">
        <v>178</v>
      </c>
      <c r="C73" s="442">
        <f>pojazdy_przeliczenie!P34</f>
        <v>2</v>
      </c>
      <c r="D73" s="442">
        <f>pojazdy_przeliczenie!Q34</f>
        <v>0</v>
      </c>
      <c r="E73" s="442">
        <f>pojazdy_przeliczenie!R34</f>
        <v>3</v>
      </c>
      <c r="F73" s="442">
        <f>pojazdy_przeliczenie!S34</f>
        <v>0</v>
      </c>
      <c r="G73" s="200">
        <f t="shared" si="21"/>
        <v>5</v>
      </c>
      <c r="I73" s="235" t="s">
        <v>178</v>
      </c>
      <c r="J73" s="202"/>
      <c r="K73" s="236" t="e">
        <f>C73*#REF!*#REF!/100</f>
        <v>#REF!</v>
      </c>
      <c r="L73" s="236" t="e">
        <f>D73*#REF!*#REF!/100</f>
        <v>#REF!</v>
      </c>
      <c r="M73" s="236" t="e">
        <f>E73*#REF!*#REF!/100</f>
        <v>#REF!</v>
      </c>
      <c r="N73" s="236" t="e">
        <f>F73*#REF!*#REF!/100</f>
        <v>#REF!</v>
      </c>
      <c r="O73" s="200" t="e">
        <f t="shared" si="22"/>
        <v>#REF!</v>
      </c>
    </row>
    <row r="74" spans="2:15">
      <c r="B74" s="237"/>
      <c r="C74" s="610" t="s">
        <v>163</v>
      </c>
      <c r="D74" s="610"/>
      <c r="E74" s="610"/>
      <c r="F74" s="610"/>
      <c r="G74" s="191"/>
      <c r="I74" s="237"/>
      <c r="J74" s="197"/>
      <c r="K74" s="610" t="s">
        <v>163</v>
      </c>
      <c r="L74" s="610"/>
      <c r="M74" s="610"/>
      <c r="N74" s="610"/>
      <c r="O74" s="191"/>
    </row>
    <row r="75" spans="2:15">
      <c r="B75" s="234" t="s">
        <v>179</v>
      </c>
      <c r="C75" s="232" t="s">
        <v>169</v>
      </c>
      <c r="D75" s="232" t="s">
        <v>170</v>
      </c>
      <c r="E75" s="232" t="s">
        <v>171</v>
      </c>
      <c r="F75" s="232" t="s">
        <v>172</v>
      </c>
      <c r="G75" s="190" t="s">
        <v>97</v>
      </c>
      <c r="I75" s="234" t="s">
        <v>179</v>
      </c>
      <c r="J75" s="232"/>
      <c r="K75" s="232" t="s">
        <v>169</v>
      </c>
      <c r="L75" s="232" t="s">
        <v>170</v>
      </c>
      <c r="M75" s="232" t="s">
        <v>171</v>
      </c>
      <c r="N75" s="232" t="s">
        <v>172</v>
      </c>
      <c r="O75" s="190" t="s">
        <v>97</v>
      </c>
    </row>
    <row r="76" spans="2:15">
      <c r="B76" s="235" t="s">
        <v>173</v>
      </c>
      <c r="C76" s="442">
        <f>pojazdy_przeliczenie!P37</f>
        <v>0</v>
      </c>
      <c r="D76" s="442">
        <f>pojazdy_przeliczenie!Q37</f>
        <v>0</v>
      </c>
      <c r="E76" s="442">
        <f>pojazdy_przeliczenie!R37</f>
        <v>0</v>
      </c>
      <c r="F76" s="442">
        <f>pojazdy_przeliczenie!S37</f>
        <v>0</v>
      </c>
      <c r="G76" s="200">
        <f t="shared" ref="G76:G81" si="23">SUM(C76:F76)</f>
        <v>0</v>
      </c>
      <c r="I76" s="235" t="s">
        <v>173</v>
      </c>
      <c r="J76" s="202"/>
      <c r="K76" s="236" t="e">
        <f>C76*#REF!*#REF!/100</f>
        <v>#REF!</v>
      </c>
      <c r="L76" s="236" t="e">
        <f>D76*#REF!*#REF!/100</f>
        <v>#REF!</v>
      </c>
      <c r="M76" s="236" t="e">
        <f>E76*#REF!*#REF!/100</f>
        <v>#REF!</v>
      </c>
      <c r="N76" s="236" t="e">
        <f>F76*#REF!*#REF!/100</f>
        <v>#REF!</v>
      </c>
      <c r="O76" s="200" t="e">
        <f t="shared" ref="O76:O81" si="24">SUM(K76:N76)</f>
        <v>#REF!</v>
      </c>
    </row>
    <row r="77" spans="2:15">
      <c r="B77" s="235" t="s">
        <v>174</v>
      </c>
      <c r="C77" s="442">
        <f>pojazdy_przeliczenie!P38</f>
        <v>0</v>
      </c>
      <c r="D77" s="442">
        <f>pojazdy_przeliczenie!Q38</f>
        <v>0</v>
      </c>
      <c r="E77" s="442">
        <f>pojazdy_przeliczenie!R38</f>
        <v>0</v>
      </c>
      <c r="F77" s="442">
        <f>pojazdy_przeliczenie!S38</f>
        <v>0</v>
      </c>
      <c r="G77" s="200">
        <f t="shared" si="23"/>
        <v>0</v>
      </c>
      <c r="I77" s="235" t="s">
        <v>174</v>
      </c>
      <c r="J77" s="202"/>
      <c r="K77" s="236" t="e">
        <f>C77*#REF!*#REF!/100</f>
        <v>#REF!</v>
      </c>
      <c r="L77" s="236" t="e">
        <f>D77*#REF!*#REF!/100</f>
        <v>#REF!</v>
      </c>
      <c r="M77" s="236" t="e">
        <f>E77*#REF!*#REF!/100</f>
        <v>#REF!</v>
      </c>
      <c r="N77" s="236" t="e">
        <f>F77*#REF!*#REF!/100</f>
        <v>#REF!</v>
      </c>
      <c r="O77" s="200" t="e">
        <f t="shared" si="24"/>
        <v>#REF!</v>
      </c>
    </row>
    <row r="78" spans="2:15">
      <c r="B78" s="235" t="s">
        <v>175</v>
      </c>
      <c r="C78" s="442">
        <f>pojazdy_przeliczenie!P39</f>
        <v>0</v>
      </c>
      <c r="D78" s="442">
        <f>pojazdy_przeliczenie!Q39</f>
        <v>0</v>
      </c>
      <c r="E78" s="442">
        <f>pojazdy_przeliczenie!R39</f>
        <v>0</v>
      </c>
      <c r="F78" s="442">
        <f>pojazdy_przeliczenie!S39</f>
        <v>0</v>
      </c>
      <c r="G78" s="200">
        <f t="shared" si="23"/>
        <v>0</v>
      </c>
      <c r="I78" s="235" t="s">
        <v>175</v>
      </c>
      <c r="J78" s="202"/>
      <c r="K78" s="236" t="e">
        <f>C78*#REF!*#REF!/100</f>
        <v>#REF!</v>
      </c>
      <c r="L78" s="236" t="e">
        <f>D78*#REF!*#REF!/100</f>
        <v>#REF!</v>
      </c>
      <c r="M78" s="236" t="e">
        <f>E78*#REF!*#REF!/100</f>
        <v>#REF!</v>
      </c>
      <c r="N78" s="236" t="e">
        <f>F78*#REF!*#REF!/100</f>
        <v>#REF!</v>
      </c>
      <c r="O78" s="200" t="e">
        <f t="shared" si="24"/>
        <v>#REF!</v>
      </c>
    </row>
    <row r="79" spans="2:15">
      <c r="B79" s="235" t="s">
        <v>176</v>
      </c>
      <c r="C79" s="442">
        <f>pojazdy_przeliczenie!P40</f>
        <v>0</v>
      </c>
      <c r="D79" s="442">
        <v>104</v>
      </c>
      <c r="E79" s="442">
        <f>pojazdy_przeliczenie!R40</f>
        <v>0</v>
      </c>
      <c r="F79" s="442">
        <f>pojazdy_przeliczenie!S40</f>
        <v>0</v>
      </c>
      <c r="G79" s="200">
        <f t="shared" si="23"/>
        <v>104</v>
      </c>
      <c r="I79" s="235" t="s">
        <v>176</v>
      </c>
      <c r="J79" s="202"/>
      <c r="K79" s="236" t="e">
        <f>C79*#REF!*#REF!/100</f>
        <v>#REF!</v>
      </c>
      <c r="L79" s="236" t="e">
        <f>D79*#REF!*#REF!/100</f>
        <v>#REF!</v>
      </c>
      <c r="M79" s="236" t="e">
        <f>E79*#REF!*#REF!/100</f>
        <v>#REF!</v>
      </c>
      <c r="N79" s="236" t="e">
        <f>F79*#REF!*#REF!/100</f>
        <v>#REF!</v>
      </c>
      <c r="O79" s="200" t="e">
        <f t="shared" si="24"/>
        <v>#REF!</v>
      </c>
    </row>
    <row r="80" spans="2:15">
      <c r="B80" s="235" t="s">
        <v>177</v>
      </c>
      <c r="C80" s="442">
        <v>7</v>
      </c>
      <c r="D80" s="442">
        <v>0</v>
      </c>
      <c r="E80" s="442">
        <f>pojazdy_przeliczenie!R41</f>
        <v>0</v>
      </c>
      <c r="F80" s="442">
        <f>pojazdy_przeliczenie!S41</f>
        <v>0</v>
      </c>
      <c r="G80" s="200">
        <f t="shared" si="23"/>
        <v>7</v>
      </c>
      <c r="I80" s="235" t="s">
        <v>177</v>
      </c>
      <c r="J80" s="202"/>
      <c r="K80" s="236" t="e">
        <f>C80*#REF!*#REF!/100</f>
        <v>#REF!</v>
      </c>
      <c r="L80" s="236" t="e">
        <f>D80*#REF!*#REF!/100</f>
        <v>#REF!</v>
      </c>
      <c r="M80" s="236" t="e">
        <f>E80*#REF!*#REF!/100</f>
        <v>#REF!</v>
      </c>
      <c r="N80" s="236" t="e">
        <f>F80*#REF!*#REF!/100</f>
        <v>#REF!</v>
      </c>
      <c r="O80" s="200" t="e">
        <f t="shared" si="24"/>
        <v>#REF!</v>
      </c>
    </row>
    <row r="81" spans="2:15">
      <c r="B81" s="235" t="s">
        <v>178</v>
      </c>
      <c r="C81" s="442">
        <f>pojazdy_przeliczenie!P42</f>
        <v>0</v>
      </c>
      <c r="D81" s="442">
        <v>2</v>
      </c>
      <c r="E81" s="442">
        <f>pojazdy_przeliczenie!R42</f>
        <v>0</v>
      </c>
      <c r="F81" s="442">
        <f>pojazdy_przeliczenie!S42</f>
        <v>0</v>
      </c>
      <c r="G81" s="200">
        <f t="shared" si="23"/>
        <v>2</v>
      </c>
      <c r="I81" s="235" t="s">
        <v>178</v>
      </c>
      <c r="J81" s="202"/>
      <c r="K81" s="236" t="e">
        <f>C81*#REF!*#REF!/100</f>
        <v>#REF!</v>
      </c>
      <c r="L81" s="236" t="e">
        <f>D81*#REF!*#REF!/100</f>
        <v>#REF!</v>
      </c>
      <c r="M81" s="236" t="e">
        <f>E81*#REF!*#REF!/100</f>
        <v>#REF!</v>
      </c>
      <c r="N81" s="236" t="e">
        <f>F81*#REF!*#REF!/100</f>
        <v>#REF!</v>
      </c>
      <c r="O81" s="200" t="e">
        <f t="shared" si="24"/>
        <v>#REF!</v>
      </c>
    </row>
    <row r="82" spans="2:15">
      <c r="B82" s="237"/>
      <c r="C82" s="610" t="s">
        <v>165</v>
      </c>
      <c r="D82" s="610"/>
      <c r="E82" s="610"/>
      <c r="F82" s="610"/>
      <c r="G82" s="191"/>
      <c r="I82" s="237"/>
      <c r="J82" s="197"/>
      <c r="K82" s="610" t="s">
        <v>165</v>
      </c>
      <c r="L82" s="610"/>
      <c r="M82" s="610"/>
      <c r="N82" s="610"/>
      <c r="O82" s="191"/>
    </row>
    <row r="83" spans="2:15">
      <c r="B83" s="234" t="s">
        <v>179</v>
      </c>
      <c r="C83" s="232" t="s">
        <v>169</v>
      </c>
      <c r="D83" s="232" t="s">
        <v>170</v>
      </c>
      <c r="E83" s="232" t="s">
        <v>171</v>
      </c>
      <c r="F83" s="232" t="s">
        <v>172</v>
      </c>
      <c r="G83" s="190" t="s">
        <v>97</v>
      </c>
      <c r="I83" s="234" t="s">
        <v>179</v>
      </c>
      <c r="J83" s="232"/>
      <c r="K83" s="232" t="s">
        <v>169</v>
      </c>
      <c r="L83" s="232" t="s">
        <v>170</v>
      </c>
      <c r="M83" s="232" t="s">
        <v>171</v>
      </c>
      <c r="N83" s="232" t="s">
        <v>172</v>
      </c>
      <c r="O83" s="190" t="s">
        <v>97</v>
      </c>
    </row>
    <row r="84" spans="2:15">
      <c r="B84" s="235" t="s">
        <v>173</v>
      </c>
      <c r="C84" s="506">
        <f>pojazdy_przeliczenie!P45</f>
        <v>0</v>
      </c>
      <c r="D84" s="506">
        <f>pojazdy_przeliczenie!Q45</f>
        <v>0</v>
      </c>
      <c r="E84" s="506">
        <f>pojazdy_przeliczenie!R45</f>
        <v>0</v>
      </c>
      <c r="F84" s="506">
        <f>pojazdy_przeliczenie!S45</f>
        <v>0</v>
      </c>
      <c r="G84" s="200">
        <f t="shared" ref="G84:G89" si="25">SUM(C84:F84)</f>
        <v>0</v>
      </c>
      <c r="I84" s="235" t="s">
        <v>173</v>
      </c>
      <c r="J84" s="202"/>
      <c r="K84" s="236" t="e">
        <f>C84*#REF!*#REF!/100</f>
        <v>#REF!</v>
      </c>
      <c r="L84" s="236" t="e">
        <f>D84*#REF!*#REF!/100</f>
        <v>#REF!</v>
      </c>
      <c r="M84" s="236" t="e">
        <f>E84*#REF!*#REF!/100</f>
        <v>#REF!</v>
      </c>
      <c r="N84" s="236" t="e">
        <f>F84*#REF!*#REF!/100</f>
        <v>#REF!</v>
      </c>
      <c r="O84" s="200" t="e">
        <f t="shared" ref="O84:O89" si="26">SUM(K84:N84)</f>
        <v>#REF!</v>
      </c>
    </row>
    <row r="85" spans="2:15">
      <c r="B85" s="235" t="s">
        <v>174</v>
      </c>
      <c r="C85" s="506">
        <f>pojazdy_przeliczenie!P46</f>
        <v>0</v>
      </c>
      <c r="D85" s="506">
        <f>pojazdy_przeliczenie!Q46</f>
        <v>0</v>
      </c>
      <c r="E85" s="506">
        <f>pojazdy_przeliczenie!R46</f>
        <v>0</v>
      </c>
      <c r="F85" s="506">
        <f>pojazdy_przeliczenie!S46</f>
        <v>0</v>
      </c>
      <c r="G85" s="200">
        <f t="shared" si="25"/>
        <v>0</v>
      </c>
      <c r="I85" s="235" t="s">
        <v>174</v>
      </c>
      <c r="J85" s="202"/>
      <c r="K85" s="236" t="e">
        <f>C85*#REF!*#REF!/100</f>
        <v>#REF!</v>
      </c>
      <c r="L85" s="236" t="e">
        <f>D85*#REF!*#REF!/100</f>
        <v>#REF!</v>
      </c>
      <c r="M85" s="236" t="e">
        <f>E85*#REF!*#REF!/100</f>
        <v>#REF!</v>
      </c>
      <c r="N85" s="236" t="e">
        <f>F85*#REF!*#REF!/100</f>
        <v>#REF!</v>
      </c>
      <c r="O85" s="200" t="e">
        <f t="shared" si="26"/>
        <v>#REF!</v>
      </c>
    </row>
    <row r="86" spans="2:15">
      <c r="B86" s="235" t="s">
        <v>175</v>
      </c>
      <c r="C86" s="506">
        <f>pojazdy_przeliczenie!P47</f>
        <v>0</v>
      </c>
      <c r="D86" s="506">
        <f>pojazdy_przeliczenie!Q47</f>
        <v>0</v>
      </c>
      <c r="E86" s="506">
        <f>pojazdy_przeliczenie!R47</f>
        <v>0</v>
      </c>
      <c r="F86" s="506">
        <f>pojazdy_przeliczenie!S47</f>
        <v>0</v>
      </c>
      <c r="G86" s="200">
        <f t="shared" si="25"/>
        <v>0</v>
      </c>
      <c r="I86" s="235" t="s">
        <v>175</v>
      </c>
      <c r="J86" s="202"/>
      <c r="K86" s="236" t="e">
        <f>C86*#REF!*#REF!/100</f>
        <v>#REF!</v>
      </c>
      <c r="L86" s="236" t="e">
        <f>D86*#REF!*#REF!/100</f>
        <v>#REF!</v>
      </c>
      <c r="M86" s="236" t="e">
        <f>E86*#REF!*#REF!/100</f>
        <v>#REF!</v>
      </c>
      <c r="N86" s="236" t="e">
        <f>F86*#REF!*#REF!/100</f>
        <v>#REF!</v>
      </c>
      <c r="O86" s="200" t="e">
        <f t="shared" si="26"/>
        <v>#REF!</v>
      </c>
    </row>
    <row r="87" spans="2:15">
      <c r="B87" s="235" t="s">
        <v>176</v>
      </c>
      <c r="C87" s="506">
        <f>pojazdy_przeliczenie!P48</f>
        <v>0</v>
      </c>
      <c r="D87" s="506">
        <f>pojazdy_przeliczenie!Q48</f>
        <v>0</v>
      </c>
      <c r="E87" s="506">
        <f>pojazdy_przeliczenie!R48</f>
        <v>0</v>
      </c>
      <c r="F87" s="506">
        <f>pojazdy_przeliczenie!S48</f>
        <v>0</v>
      </c>
      <c r="G87" s="200">
        <f t="shared" si="25"/>
        <v>0</v>
      </c>
      <c r="I87" s="235" t="s">
        <v>176</v>
      </c>
      <c r="J87" s="202"/>
      <c r="K87" s="236" t="e">
        <f>C87*#REF!*#REF!/100</f>
        <v>#REF!</v>
      </c>
      <c r="L87" s="236" t="e">
        <f>D87*#REF!*#REF!/100</f>
        <v>#REF!</v>
      </c>
      <c r="M87" s="236" t="e">
        <f>E87*#REF!*#REF!/100</f>
        <v>#REF!</v>
      </c>
      <c r="N87" s="236" t="e">
        <f>F87*#REF!*#REF!/100</f>
        <v>#REF!</v>
      </c>
      <c r="O87" s="200" t="e">
        <f t="shared" si="26"/>
        <v>#REF!</v>
      </c>
    </row>
    <row r="88" spans="2:15">
      <c r="B88" s="235" t="s">
        <v>177</v>
      </c>
      <c r="C88" s="506">
        <f>pojazdy_przeliczenie!P49</f>
        <v>0</v>
      </c>
      <c r="D88" s="506">
        <f>pojazdy_przeliczenie!Q49</f>
        <v>3</v>
      </c>
      <c r="E88" s="506">
        <f>pojazdy_przeliczenie!R49</f>
        <v>0</v>
      </c>
      <c r="F88" s="506">
        <f>pojazdy_przeliczenie!S49</f>
        <v>0</v>
      </c>
      <c r="G88" s="200">
        <f t="shared" si="25"/>
        <v>3</v>
      </c>
      <c r="I88" s="235" t="s">
        <v>177</v>
      </c>
      <c r="J88" s="202"/>
      <c r="K88" s="236" t="e">
        <f>C88*#REF!*#REF!/100</f>
        <v>#REF!</v>
      </c>
      <c r="L88" s="236" t="e">
        <f>D88*#REF!*#REF!/100</f>
        <v>#REF!</v>
      </c>
      <c r="M88" s="236" t="e">
        <f>E88*#REF!*#REF!/100</f>
        <v>#REF!</v>
      </c>
      <c r="N88" s="236" t="e">
        <f>F88*#REF!*#REF!/100</f>
        <v>#REF!</v>
      </c>
      <c r="O88" s="200" t="e">
        <f t="shared" si="26"/>
        <v>#REF!</v>
      </c>
    </row>
    <row r="89" spans="2:15">
      <c r="B89" s="235" t="s">
        <v>178</v>
      </c>
      <c r="C89" s="506">
        <f>pojazdy_przeliczenie!P50</f>
        <v>0</v>
      </c>
      <c r="D89" s="506">
        <f>pojazdy_przeliczenie!Q50</f>
        <v>0</v>
      </c>
      <c r="E89" s="506">
        <f>pojazdy_przeliczenie!R50</f>
        <v>0</v>
      </c>
      <c r="F89" s="506">
        <f>pojazdy_przeliczenie!S50</f>
        <v>0</v>
      </c>
      <c r="G89" s="200">
        <f t="shared" si="25"/>
        <v>0</v>
      </c>
      <c r="I89" s="235" t="s">
        <v>178</v>
      </c>
      <c r="J89" s="202"/>
      <c r="K89" s="236" t="e">
        <f>C89*#REF!*#REF!/100</f>
        <v>#REF!</v>
      </c>
      <c r="L89" s="236" t="e">
        <f>D89*#REF!*#REF!/100</f>
        <v>#REF!</v>
      </c>
      <c r="M89" s="236" t="e">
        <f>E89*#REF!*#REF!/100</f>
        <v>#REF!</v>
      </c>
      <c r="N89" s="236" t="e">
        <f>F89*#REF!*#REF!/100</f>
        <v>#REF!</v>
      </c>
      <c r="O89" s="200" t="e">
        <f t="shared" si="26"/>
        <v>#REF!</v>
      </c>
    </row>
    <row r="90" spans="2:15">
      <c r="B90" s="237"/>
      <c r="C90" s="610" t="s">
        <v>164</v>
      </c>
      <c r="D90" s="610"/>
      <c r="E90" s="610"/>
      <c r="F90" s="610"/>
      <c r="G90" s="191"/>
      <c r="I90" s="237"/>
      <c r="J90" s="197"/>
      <c r="K90" s="610" t="s">
        <v>164</v>
      </c>
      <c r="L90" s="610"/>
      <c r="M90" s="610"/>
      <c r="N90" s="610"/>
      <c r="O90" s="191"/>
    </row>
    <row r="91" spans="2:15">
      <c r="B91" s="234" t="s">
        <v>179</v>
      </c>
      <c r="C91" s="232" t="s">
        <v>169</v>
      </c>
      <c r="D91" s="232" t="s">
        <v>170</v>
      </c>
      <c r="E91" s="232" t="s">
        <v>171</v>
      </c>
      <c r="F91" s="232" t="s">
        <v>172</v>
      </c>
      <c r="G91" s="190" t="s">
        <v>97</v>
      </c>
      <c r="I91" s="234" t="s">
        <v>179</v>
      </c>
      <c r="J91" s="232"/>
      <c r="K91" s="232" t="s">
        <v>169</v>
      </c>
      <c r="L91" s="232" t="s">
        <v>170</v>
      </c>
      <c r="M91" s="232" t="s">
        <v>171</v>
      </c>
      <c r="N91" s="232" t="s">
        <v>172</v>
      </c>
      <c r="O91" s="190" t="s">
        <v>97</v>
      </c>
    </row>
    <row r="92" spans="2:15">
      <c r="B92" s="235" t="s">
        <v>173</v>
      </c>
      <c r="C92" s="442">
        <f>pojazdy_przeliczenie!P53</f>
        <v>0</v>
      </c>
      <c r="D92" s="442">
        <f>pojazdy_przeliczenie!Q53</f>
        <v>0</v>
      </c>
      <c r="E92" s="442">
        <f>pojazdy_przeliczenie!R53</f>
        <v>0</v>
      </c>
      <c r="F92" s="442">
        <f>pojazdy_przeliczenie!S53</f>
        <v>0</v>
      </c>
      <c r="G92" s="200">
        <f t="shared" ref="G92:G97" si="27">SUM(C92:F92)</f>
        <v>0</v>
      </c>
      <c r="I92" s="235" t="s">
        <v>173</v>
      </c>
      <c r="J92" s="202"/>
      <c r="K92" s="236" t="e">
        <f>C92*#REF!*#REF!/10000</f>
        <v>#REF!</v>
      </c>
      <c r="L92" s="236" t="e">
        <f>D92*#REF!*#REF!/10000</f>
        <v>#REF!</v>
      </c>
      <c r="M92" s="236" t="e">
        <f>E92*#REF!*#REF!/100</f>
        <v>#REF!</v>
      </c>
      <c r="N92" s="236" t="e">
        <f>F92*#REF!*#REF!/100</f>
        <v>#REF!</v>
      </c>
      <c r="O92" s="200" t="e">
        <f t="shared" ref="O92:O97" si="28">SUM(K92:N92)</f>
        <v>#REF!</v>
      </c>
    </row>
    <row r="93" spans="2:15">
      <c r="B93" s="235" t="s">
        <v>174</v>
      </c>
      <c r="C93" s="442">
        <f>pojazdy_przeliczenie!P54</f>
        <v>0</v>
      </c>
      <c r="D93" s="442">
        <f>pojazdy_przeliczenie!Q54</f>
        <v>0</v>
      </c>
      <c r="E93" s="442">
        <f>pojazdy_przeliczenie!R54</f>
        <v>0</v>
      </c>
      <c r="F93" s="442">
        <f>pojazdy_przeliczenie!S54</f>
        <v>0</v>
      </c>
      <c r="G93" s="200">
        <f t="shared" si="27"/>
        <v>0</v>
      </c>
      <c r="I93" s="235" t="s">
        <v>174</v>
      </c>
      <c r="J93" s="202"/>
      <c r="K93" s="236" t="e">
        <f>C93*#REF!*#REF!/10000</f>
        <v>#REF!</v>
      </c>
      <c r="L93" s="236" t="e">
        <f>D93*#REF!*#REF!/10000</f>
        <v>#REF!</v>
      </c>
      <c r="M93" s="236" t="e">
        <f>E93*#REF!*#REF!/100</f>
        <v>#REF!</v>
      </c>
      <c r="N93" s="236" t="e">
        <f>F93*#REF!*#REF!/100</f>
        <v>#REF!</v>
      </c>
      <c r="O93" s="200" t="e">
        <f t="shared" si="28"/>
        <v>#REF!</v>
      </c>
    </row>
    <row r="94" spans="2:15">
      <c r="B94" s="235" t="s">
        <v>175</v>
      </c>
      <c r="C94" s="442">
        <f>pojazdy_przeliczenie!P55</f>
        <v>0</v>
      </c>
      <c r="D94" s="442">
        <v>25</v>
      </c>
      <c r="E94" s="442">
        <f>pojazdy_przeliczenie!R55</f>
        <v>0</v>
      </c>
      <c r="F94" s="442">
        <f>pojazdy_przeliczenie!S55</f>
        <v>0</v>
      </c>
      <c r="G94" s="200">
        <f t="shared" si="27"/>
        <v>25</v>
      </c>
      <c r="I94" s="235" t="s">
        <v>175</v>
      </c>
      <c r="J94" s="202"/>
      <c r="K94" s="236" t="e">
        <f>C94*#REF!*#REF!/10000</f>
        <v>#REF!</v>
      </c>
      <c r="L94" s="236" t="e">
        <f>D94*#REF!*#REF!/10000</f>
        <v>#REF!</v>
      </c>
      <c r="M94" s="236" t="e">
        <f>E94*#REF!*#REF!/100</f>
        <v>#REF!</v>
      </c>
      <c r="N94" s="236" t="e">
        <f>F94*#REF!*#REF!/100</f>
        <v>#REF!</v>
      </c>
      <c r="O94" s="200" t="e">
        <f t="shared" si="28"/>
        <v>#REF!</v>
      </c>
    </row>
    <row r="95" spans="2:15">
      <c r="B95" s="235" t="s">
        <v>176</v>
      </c>
      <c r="C95" s="442">
        <f>pojazdy_przeliczenie!P56</f>
        <v>0</v>
      </c>
      <c r="D95" s="442">
        <v>3</v>
      </c>
      <c r="E95" s="442">
        <f>pojazdy_przeliczenie!R56</f>
        <v>0</v>
      </c>
      <c r="F95" s="442">
        <f>pojazdy_przeliczenie!S56</f>
        <v>0</v>
      </c>
      <c r="G95" s="200">
        <f t="shared" si="27"/>
        <v>3</v>
      </c>
      <c r="I95" s="235" t="s">
        <v>176</v>
      </c>
      <c r="J95" s="202"/>
      <c r="K95" s="236" t="e">
        <f>C95*#REF!*#REF!/10000</f>
        <v>#REF!</v>
      </c>
      <c r="L95" s="236" t="e">
        <f>D95*#REF!*#REF!/10000</f>
        <v>#REF!</v>
      </c>
      <c r="M95" s="236" t="e">
        <f>E95*#REF!*#REF!/100</f>
        <v>#REF!</v>
      </c>
      <c r="N95" s="236" t="e">
        <f>F95*#REF!*#REF!/100</f>
        <v>#REF!</v>
      </c>
      <c r="O95" s="200" t="e">
        <f t="shared" si="28"/>
        <v>#REF!</v>
      </c>
    </row>
    <row r="96" spans="2:15">
      <c r="B96" s="235" t="s">
        <v>177</v>
      </c>
      <c r="C96" s="442">
        <v>31</v>
      </c>
      <c r="D96" s="442">
        <v>336</v>
      </c>
      <c r="E96" s="442">
        <v>136</v>
      </c>
      <c r="F96" s="442">
        <f>pojazdy_przeliczenie!S57</f>
        <v>0</v>
      </c>
      <c r="G96" s="200">
        <f t="shared" si="27"/>
        <v>503</v>
      </c>
      <c r="I96" s="235" t="s">
        <v>177</v>
      </c>
      <c r="J96" s="202"/>
      <c r="K96" s="236" t="e">
        <f>C96*#REF!*#REF!/10000</f>
        <v>#REF!</v>
      </c>
      <c r="L96" s="236" t="e">
        <f>D96*#REF!*#REF!/10000</f>
        <v>#REF!</v>
      </c>
      <c r="M96" s="236" t="e">
        <f>E96*#REF!*#REF!/100</f>
        <v>#REF!</v>
      </c>
      <c r="N96" s="236" t="e">
        <f>F96*#REF!*#REF!/100</f>
        <v>#REF!</v>
      </c>
      <c r="O96" s="200" t="e">
        <f t="shared" si="28"/>
        <v>#REF!</v>
      </c>
    </row>
    <row r="97" spans="2:15" ht="15.75" thickBot="1">
      <c r="B97" s="238" t="s">
        <v>178</v>
      </c>
      <c r="C97" s="448">
        <f>pojazdy_przeliczenie!P58</f>
        <v>0</v>
      </c>
      <c r="D97" s="448">
        <f>pojazdy_przeliczenie!Q58</f>
        <v>0</v>
      </c>
      <c r="E97" s="448">
        <f>pojazdy_przeliczenie!R58</f>
        <v>0</v>
      </c>
      <c r="F97" s="465">
        <f>pojazdy_przeliczenie!S58</f>
        <v>0</v>
      </c>
      <c r="G97" s="201">
        <f t="shared" si="27"/>
        <v>0</v>
      </c>
      <c r="I97" s="238" t="s">
        <v>178</v>
      </c>
      <c r="J97" s="204"/>
      <c r="K97" s="239" t="e">
        <f>C97*#REF!*#REF!/10000</f>
        <v>#REF!</v>
      </c>
      <c r="L97" s="239" t="e">
        <f>D97*#REF!*#REF!/10000</f>
        <v>#REF!</v>
      </c>
      <c r="M97" s="239" t="e">
        <f>E97*#REF!*#REF!/100</f>
        <v>#REF!</v>
      </c>
      <c r="N97" s="239" t="e">
        <f>F97*#REF!*#REF!/100</f>
        <v>#REF!</v>
      </c>
      <c r="O97" s="201" t="e">
        <f t="shared" si="28"/>
        <v>#REF!</v>
      </c>
    </row>
    <row r="98" spans="2:15" ht="15.75" thickBot="1">
      <c r="B98" s="228"/>
      <c r="C98" s="229"/>
      <c r="D98" s="229"/>
      <c r="E98" s="229"/>
      <c r="F98" s="229"/>
      <c r="G98" s="229"/>
      <c r="I98" s="202"/>
      <c r="J98" s="202"/>
      <c r="K98" s="236"/>
      <c r="L98" s="236"/>
      <c r="M98" s="236"/>
      <c r="N98" s="236"/>
      <c r="O98" s="236"/>
    </row>
    <row r="99" spans="2:15" ht="34.5" customHeight="1" thickBot="1">
      <c r="B99" s="611" t="s">
        <v>216</v>
      </c>
      <c r="C99" s="612"/>
      <c r="D99" s="612"/>
      <c r="E99" s="613" t="s">
        <v>351</v>
      </c>
      <c r="F99" s="614"/>
      <c r="G99" s="614"/>
      <c r="H99" s="615"/>
      <c r="I99" s="457">
        <v>2010</v>
      </c>
    </row>
    <row r="100" spans="2:15" ht="75">
      <c r="B100" s="213" t="s">
        <v>206</v>
      </c>
      <c r="C100" s="214" t="s">
        <v>352</v>
      </c>
      <c r="D100" s="454" t="s">
        <v>205</v>
      </c>
      <c r="E100" s="213" t="str">
        <f>CONCATENATE("Liczba pojazdów (","pomiar ",I99,")")</f>
        <v>Liczba pojazdów (pomiar 2010)</v>
      </c>
      <c r="F100" s="214" t="s">
        <v>349</v>
      </c>
      <c r="G100" s="214" t="s">
        <v>350</v>
      </c>
      <c r="H100" s="215" t="str">
        <f>CONCATENATE("Liczba pojazdów w roku inwentaryzacji"," ",rok_inw," r.")</f>
        <v>Liczba pojazdów w roku inwentaryzacji 2015 r.</v>
      </c>
    </row>
    <row r="101" spans="2:15">
      <c r="B101" s="120" t="s">
        <v>207</v>
      </c>
      <c r="C101" s="63">
        <f>H101</f>
        <v>7799</v>
      </c>
      <c r="D101" s="452">
        <v>0.28000000000000003</v>
      </c>
      <c r="E101" s="455">
        <v>6824</v>
      </c>
      <c r="F101" s="456">
        <v>2.9000000000000001E-2</v>
      </c>
      <c r="G101" s="63">
        <f>0.8*0.9+0.2*1.07</f>
        <v>0.93400000000000016</v>
      </c>
      <c r="H101" s="88">
        <f>INT(E101*(1+F101*G101)^(rok_inw-2010))</f>
        <v>7799</v>
      </c>
    </row>
    <row r="102" spans="2:15">
      <c r="B102" s="120" t="s">
        <v>208</v>
      </c>
      <c r="C102" s="63">
        <f t="shared" ref="C102:C109" si="29">H102</f>
        <v>9675</v>
      </c>
      <c r="D102" s="452">
        <v>0.28000000000000003</v>
      </c>
      <c r="E102" s="455">
        <v>8465</v>
      </c>
      <c r="F102" s="456">
        <v>2.9000000000000001E-2</v>
      </c>
      <c r="G102" s="63">
        <f t="shared" ref="G102:G109" si="30">0.8*0.9+0.2*1.07</f>
        <v>0.93400000000000016</v>
      </c>
      <c r="H102" s="88">
        <f t="shared" ref="H102:H109" si="31">INT(E102*(1+F102*G102)^(rok_inw-2010))</f>
        <v>9675</v>
      </c>
    </row>
    <row r="103" spans="2:15">
      <c r="B103" s="120" t="s">
        <v>209</v>
      </c>
      <c r="C103" s="63">
        <f t="shared" si="29"/>
        <v>1778</v>
      </c>
      <c r="D103" s="452">
        <v>0.28000000000000003</v>
      </c>
      <c r="E103" s="455">
        <v>1556</v>
      </c>
      <c r="F103" s="456">
        <v>2.9000000000000001E-2</v>
      </c>
      <c r="G103" s="63">
        <f t="shared" si="30"/>
        <v>0.93400000000000016</v>
      </c>
      <c r="H103" s="88">
        <f t="shared" si="31"/>
        <v>1778</v>
      </c>
    </row>
    <row r="104" spans="2:15">
      <c r="B104" s="120" t="s">
        <v>210</v>
      </c>
      <c r="C104" s="63">
        <f t="shared" si="29"/>
        <v>10935</v>
      </c>
      <c r="D104" s="452">
        <v>0.28000000000000003</v>
      </c>
      <c r="E104" s="455">
        <v>9568</v>
      </c>
      <c r="F104" s="456">
        <v>2.9000000000000001E-2</v>
      </c>
      <c r="G104" s="63">
        <f t="shared" si="30"/>
        <v>0.93400000000000016</v>
      </c>
      <c r="H104" s="88">
        <f t="shared" si="31"/>
        <v>10935</v>
      </c>
    </row>
    <row r="105" spans="2:15">
      <c r="B105" s="120" t="s">
        <v>211</v>
      </c>
      <c r="C105" s="63">
        <f t="shared" si="29"/>
        <v>14066</v>
      </c>
      <c r="D105" s="452">
        <v>0.28000000000000003</v>
      </c>
      <c r="E105" s="455">
        <v>12307</v>
      </c>
      <c r="F105" s="456">
        <v>2.9000000000000001E-2</v>
      </c>
      <c r="G105" s="63">
        <f t="shared" si="30"/>
        <v>0.93400000000000016</v>
      </c>
      <c r="H105" s="88">
        <f t="shared" si="31"/>
        <v>14066</v>
      </c>
    </row>
    <row r="106" spans="2:15">
      <c r="B106" s="120" t="s">
        <v>212</v>
      </c>
      <c r="C106" s="63">
        <f t="shared" si="29"/>
        <v>2585</v>
      </c>
      <c r="D106" s="452">
        <v>0.28000000000000003</v>
      </c>
      <c r="E106" s="455">
        <v>2262</v>
      </c>
      <c r="F106" s="456">
        <v>2.9000000000000001E-2</v>
      </c>
      <c r="G106" s="63">
        <f t="shared" si="30"/>
        <v>0.93400000000000016</v>
      </c>
      <c r="H106" s="88">
        <f t="shared" si="31"/>
        <v>2585</v>
      </c>
      <c r="I106" s="44"/>
      <c r="J106" s="44"/>
    </row>
    <row r="107" spans="2:15">
      <c r="B107" s="120" t="s">
        <v>213</v>
      </c>
      <c r="C107" s="63">
        <f t="shared" si="29"/>
        <v>17031</v>
      </c>
      <c r="D107" s="452">
        <v>0.28000000000000003</v>
      </c>
      <c r="E107" s="455">
        <v>14901</v>
      </c>
      <c r="F107" s="456">
        <v>2.9000000000000001E-2</v>
      </c>
      <c r="G107" s="63">
        <f t="shared" si="30"/>
        <v>0.93400000000000016</v>
      </c>
      <c r="H107" s="88">
        <f t="shared" si="31"/>
        <v>17031</v>
      </c>
      <c r="I107" s="44"/>
      <c r="J107" s="44"/>
    </row>
    <row r="108" spans="2:15">
      <c r="B108" s="120" t="s">
        <v>214</v>
      </c>
      <c r="C108" s="63">
        <f t="shared" si="29"/>
        <v>71077</v>
      </c>
      <c r="D108" s="452">
        <v>0.28000000000000003</v>
      </c>
      <c r="E108" s="455">
        <v>62187</v>
      </c>
      <c r="F108" s="456">
        <v>2.9000000000000001E-2</v>
      </c>
      <c r="G108" s="63">
        <f t="shared" si="30"/>
        <v>0.93400000000000016</v>
      </c>
      <c r="H108" s="88">
        <f t="shared" si="31"/>
        <v>71077</v>
      </c>
      <c r="I108" s="44"/>
      <c r="J108" s="44"/>
    </row>
    <row r="109" spans="2:15" ht="15.75" thickBot="1">
      <c r="B109" s="225" t="s">
        <v>215</v>
      </c>
      <c r="C109" s="115">
        <f t="shared" si="29"/>
        <v>36613</v>
      </c>
      <c r="D109" s="453">
        <v>0.28000000000000003</v>
      </c>
      <c r="E109" s="441">
        <v>32034</v>
      </c>
      <c r="F109" s="456">
        <v>2.9000000000000001E-2</v>
      </c>
      <c r="G109" s="89">
        <f t="shared" si="30"/>
        <v>0.93400000000000016</v>
      </c>
      <c r="H109" s="90">
        <f t="shared" si="31"/>
        <v>36613</v>
      </c>
      <c r="I109" s="44"/>
      <c r="J109" s="44"/>
    </row>
    <row r="110" spans="2:15" ht="15.75" thickBot="1">
      <c r="B110" s="226" t="s">
        <v>204</v>
      </c>
      <c r="C110" s="230">
        <f>SUM(C101:C109)/2</f>
        <v>85779.5</v>
      </c>
      <c r="D110" s="227">
        <f>AVERAGE(D101:D109)</f>
        <v>0.28000000000000003</v>
      </c>
      <c r="G110" s="44"/>
      <c r="H110" s="44"/>
      <c r="I110" s="44"/>
      <c r="J110" s="44"/>
    </row>
    <row r="113" spans="2:8" ht="15.75" thickBot="1">
      <c r="B113" s="608" t="s">
        <v>185</v>
      </c>
      <c r="C113" s="609"/>
      <c r="D113" s="609"/>
      <c r="E113" s="609"/>
      <c r="F113" s="609"/>
      <c r="G113" s="609"/>
      <c r="H113" s="609"/>
    </row>
    <row r="114" spans="2:8" ht="30">
      <c r="B114" s="213" t="s">
        <v>157</v>
      </c>
      <c r="C114" s="214" t="s">
        <v>119</v>
      </c>
      <c r="D114" s="214" t="s">
        <v>120</v>
      </c>
      <c r="E114" s="214" t="s">
        <v>182</v>
      </c>
      <c r="F114" s="214" t="s">
        <v>183</v>
      </c>
      <c r="G114" s="214" t="s">
        <v>184</v>
      </c>
      <c r="H114" s="215" t="s">
        <v>121</v>
      </c>
    </row>
    <row r="115" spans="2:8" ht="15.75" thickBot="1">
      <c r="B115" s="441">
        <v>356</v>
      </c>
      <c r="C115" s="216">
        <f>B115*365</f>
        <v>129940</v>
      </c>
      <c r="D115" s="91" t="e">
        <f>C115*#REF!</f>
        <v>#REF!</v>
      </c>
      <c r="E115" s="91" t="e">
        <f>D115*#REF!</f>
        <v>#REF!</v>
      </c>
      <c r="F115" s="91" t="e">
        <f>D115-E115</f>
        <v>#REF!</v>
      </c>
      <c r="G115" s="91" t="e">
        <f>E115*#REF!/1000</f>
        <v>#REF!</v>
      </c>
      <c r="H115" s="217" t="e">
        <f>F115*#REF!</f>
        <v>#REF!</v>
      </c>
    </row>
  </sheetData>
  <mergeCells count="26">
    <mergeCell ref="O4:R4"/>
    <mergeCell ref="C50:F50"/>
    <mergeCell ref="K50:N50"/>
    <mergeCell ref="E4:E5"/>
    <mergeCell ref="F4:G4"/>
    <mergeCell ref="H4:I4"/>
    <mergeCell ref="K4:K5"/>
    <mergeCell ref="L4:N4"/>
    <mergeCell ref="R40:S40"/>
    <mergeCell ref="B41:G41"/>
    <mergeCell ref="I41:O41"/>
    <mergeCell ref="C42:F42"/>
    <mergeCell ref="K42:N42"/>
    <mergeCell ref="C58:E58"/>
    <mergeCell ref="K58:M58"/>
    <mergeCell ref="C66:F66"/>
    <mergeCell ref="K66:N66"/>
    <mergeCell ref="C74:F74"/>
    <mergeCell ref="K74:N74"/>
    <mergeCell ref="B113:H113"/>
    <mergeCell ref="C82:F82"/>
    <mergeCell ref="K82:N82"/>
    <mergeCell ref="C90:F90"/>
    <mergeCell ref="K90:N90"/>
    <mergeCell ref="B99:D99"/>
    <mergeCell ref="E99:H99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workbookViewId="0">
      <selection activeCell="B60" sqref="B60"/>
    </sheetView>
  </sheetViews>
  <sheetFormatPr defaultRowHeight="15"/>
  <sheetData>
    <row r="1" spans="2:20" ht="15.75" thickBot="1"/>
    <row r="2" spans="2:20" ht="15.75" thickBot="1">
      <c r="B2" s="622" t="s">
        <v>354</v>
      </c>
      <c r="C2" s="623"/>
      <c r="D2" s="623"/>
      <c r="E2" s="623"/>
      <c r="F2" s="623"/>
      <c r="G2" s="624"/>
      <c r="H2" s="3"/>
      <c r="I2" s="622" t="s">
        <v>355</v>
      </c>
      <c r="J2" s="623"/>
      <c r="K2" s="623"/>
      <c r="L2" s="623"/>
      <c r="M2" s="623"/>
      <c r="O2" s="622" t="s">
        <v>356</v>
      </c>
      <c r="P2" s="623"/>
      <c r="Q2" s="623"/>
      <c r="R2" s="623"/>
      <c r="S2" s="623"/>
      <c r="T2" s="624"/>
    </row>
    <row r="3" spans="2:20">
      <c r="B3" s="233"/>
      <c r="C3" s="625" t="s">
        <v>162</v>
      </c>
      <c r="D3" s="625"/>
      <c r="E3" s="625"/>
      <c r="F3" s="625"/>
      <c r="G3" s="189"/>
      <c r="H3" s="188"/>
      <c r="I3" s="233"/>
      <c r="J3" s="625" t="s">
        <v>162</v>
      </c>
      <c r="K3" s="625"/>
      <c r="L3" s="625"/>
      <c r="M3" s="625"/>
      <c r="O3" s="233"/>
      <c r="P3" s="625" t="s">
        <v>162</v>
      </c>
      <c r="Q3" s="625"/>
      <c r="R3" s="625"/>
      <c r="S3" s="625"/>
      <c r="T3" s="189"/>
    </row>
    <row r="4" spans="2:20">
      <c r="B4" s="234" t="s">
        <v>179</v>
      </c>
      <c r="C4" s="232" t="s">
        <v>169</v>
      </c>
      <c r="D4" s="232" t="s">
        <v>170</v>
      </c>
      <c r="E4" s="232" t="s">
        <v>171</v>
      </c>
      <c r="F4" s="232" t="s">
        <v>172</v>
      </c>
      <c r="G4" s="190" t="s">
        <v>97</v>
      </c>
      <c r="H4" s="3"/>
      <c r="I4" s="234" t="s">
        <v>179</v>
      </c>
      <c r="J4" s="232" t="s">
        <v>169</v>
      </c>
      <c r="K4" s="232" t="s">
        <v>170</v>
      </c>
      <c r="L4" s="232" t="s">
        <v>171</v>
      </c>
      <c r="M4" s="232" t="s">
        <v>172</v>
      </c>
      <c r="O4" s="234" t="s">
        <v>179</v>
      </c>
      <c r="P4" s="232" t="s">
        <v>169</v>
      </c>
      <c r="Q4" s="232" t="s">
        <v>170</v>
      </c>
      <c r="R4" s="232" t="s">
        <v>171</v>
      </c>
      <c r="S4" s="232" t="s">
        <v>172</v>
      </c>
      <c r="T4" s="190" t="s">
        <v>97</v>
      </c>
    </row>
    <row r="5" spans="2:20">
      <c r="B5" s="235" t="s">
        <v>173</v>
      </c>
      <c r="C5" s="442">
        <v>1</v>
      </c>
      <c r="D5" s="443"/>
      <c r="E5" s="443">
        <v>18</v>
      </c>
      <c r="F5" s="444"/>
      <c r="G5" s="200">
        <f>SUM(C5:F5)</f>
        <v>19</v>
      </c>
      <c r="H5" s="3"/>
      <c r="I5" s="235" t="s">
        <v>173</v>
      </c>
      <c r="J5" s="442">
        <v>1.0878896269800715</v>
      </c>
      <c r="K5" s="443">
        <v>1.0878896269800715</v>
      </c>
      <c r="L5" s="443">
        <v>1.0878896269800715</v>
      </c>
      <c r="M5" s="444">
        <v>1.0878896269800715</v>
      </c>
      <c r="O5" s="235" t="s">
        <v>173</v>
      </c>
      <c r="P5" s="442">
        <f>ROUND(C5*J5,0)</f>
        <v>1</v>
      </c>
      <c r="Q5" s="442">
        <f t="shared" ref="Q5:S5" si="0">ROUND(D5*K5,0)</f>
        <v>0</v>
      </c>
      <c r="R5" s="442">
        <f t="shared" si="0"/>
        <v>20</v>
      </c>
      <c r="S5" s="442">
        <f t="shared" si="0"/>
        <v>0</v>
      </c>
      <c r="T5" s="200">
        <f>SUM(P5:S5)</f>
        <v>21</v>
      </c>
    </row>
    <row r="6" spans="2:20">
      <c r="B6" s="235" t="s">
        <v>174</v>
      </c>
      <c r="C6" s="445"/>
      <c r="D6" s="446"/>
      <c r="E6" s="446">
        <v>20</v>
      </c>
      <c r="F6" s="447"/>
      <c r="G6" s="200">
        <f t="shared" ref="G6:G10" si="1">SUM(C6:F6)</f>
        <v>20</v>
      </c>
      <c r="H6" s="3"/>
      <c r="I6" s="235" t="s">
        <v>174</v>
      </c>
      <c r="J6" s="445">
        <v>1.0012266928361138</v>
      </c>
      <c r="K6" s="445">
        <v>1.0012266928361138</v>
      </c>
      <c r="L6" s="445">
        <v>1.0012266928361138</v>
      </c>
      <c r="M6" s="445">
        <v>1.0012266928361138</v>
      </c>
      <c r="O6" s="235" t="s">
        <v>174</v>
      </c>
      <c r="P6" s="442">
        <f t="shared" ref="P6:P10" si="2">ROUND(C6*J6,0)</f>
        <v>0</v>
      </c>
      <c r="Q6" s="442">
        <f t="shared" ref="Q6:Q10" si="3">ROUND(D6*K6,0)</f>
        <v>0</v>
      </c>
      <c r="R6" s="442">
        <f t="shared" ref="R6:R10" si="4">ROUND(E6*L6,0)</f>
        <v>20</v>
      </c>
      <c r="S6" s="442">
        <f t="shared" ref="S6:S10" si="5">ROUND(F6*M6,0)</f>
        <v>0</v>
      </c>
      <c r="T6" s="200">
        <f t="shared" ref="T6:T10" si="6">SUM(P6:S6)</f>
        <v>20</v>
      </c>
    </row>
    <row r="7" spans="2:20">
      <c r="B7" s="235" t="s">
        <v>175</v>
      </c>
      <c r="C7" s="445">
        <v>11902</v>
      </c>
      <c r="D7" s="446">
        <v>391</v>
      </c>
      <c r="E7" s="446">
        <v>14</v>
      </c>
      <c r="F7" s="447">
        <v>144</v>
      </c>
      <c r="G7" s="200">
        <f t="shared" si="1"/>
        <v>12451</v>
      </c>
      <c r="H7" s="3"/>
      <c r="I7" s="235" t="s">
        <v>175</v>
      </c>
      <c r="J7" s="445">
        <v>1.6164405555109578</v>
      </c>
      <c r="K7" s="445">
        <v>1.6164405555109578</v>
      </c>
      <c r="L7" s="445">
        <v>1.6164405555109578</v>
      </c>
      <c r="M7" s="445">
        <v>1.6164405555109578</v>
      </c>
      <c r="O7" s="235" t="s">
        <v>175</v>
      </c>
      <c r="P7" s="442">
        <f t="shared" si="2"/>
        <v>19239</v>
      </c>
      <c r="Q7" s="442">
        <f t="shared" si="3"/>
        <v>632</v>
      </c>
      <c r="R7" s="442">
        <f t="shared" si="4"/>
        <v>23</v>
      </c>
      <c r="S7" s="442">
        <f t="shared" si="5"/>
        <v>233</v>
      </c>
      <c r="T7" s="200">
        <f t="shared" si="6"/>
        <v>20127</v>
      </c>
    </row>
    <row r="8" spans="2:20">
      <c r="B8" s="235" t="s">
        <v>176</v>
      </c>
      <c r="C8" s="445">
        <v>3790</v>
      </c>
      <c r="D8" s="446">
        <v>4529</v>
      </c>
      <c r="E8" s="446">
        <v>4101</v>
      </c>
      <c r="F8" s="447"/>
      <c r="G8" s="200">
        <f t="shared" si="1"/>
        <v>12420</v>
      </c>
      <c r="H8" s="3"/>
      <c r="I8" s="235" t="s">
        <v>176</v>
      </c>
      <c r="J8" s="445">
        <v>1.0260812975570686</v>
      </c>
      <c r="K8" s="445">
        <v>1.0260812975570686</v>
      </c>
      <c r="L8" s="445">
        <v>1.0260812975570686</v>
      </c>
      <c r="M8" s="445">
        <v>1.0260812975570699</v>
      </c>
      <c r="O8" s="235" t="s">
        <v>176</v>
      </c>
      <c r="P8" s="442">
        <f t="shared" si="2"/>
        <v>3889</v>
      </c>
      <c r="Q8" s="442">
        <f t="shared" si="3"/>
        <v>4647</v>
      </c>
      <c r="R8" s="442">
        <f t="shared" si="4"/>
        <v>4208</v>
      </c>
      <c r="S8" s="442">
        <f t="shared" si="5"/>
        <v>0</v>
      </c>
      <c r="T8" s="200">
        <f t="shared" si="6"/>
        <v>12744</v>
      </c>
    </row>
    <row r="9" spans="2:20">
      <c r="B9" s="235" t="s">
        <v>177</v>
      </c>
      <c r="C9" s="445">
        <v>102197</v>
      </c>
      <c r="D9" s="446">
        <v>76488</v>
      </c>
      <c r="E9" s="446">
        <v>8161</v>
      </c>
      <c r="F9" s="447"/>
      <c r="G9" s="200">
        <f t="shared" si="1"/>
        <v>186846</v>
      </c>
      <c r="H9" s="3"/>
      <c r="I9" s="235" t="s">
        <v>177</v>
      </c>
      <c r="J9" s="445">
        <v>1.0391883351647413</v>
      </c>
      <c r="K9" s="445">
        <v>1.0391883351647413</v>
      </c>
      <c r="L9" s="445">
        <v>1.0391883351647413</v>
      </c>
      <c r="M9" s="445">
        <v>1.03918833516474</v>
      </c>
      <c r="O9" s="235" t="s">
        <v>177</v>
      </c>
      <c r="P9" s="442">
        <f t="shared" si="2"/>
        <v>106202</v>
      </c>
      <c r="Q9" s="442">
        <f t="shared" si="3"/>
        <v>79485</v>
      </c>
      <c r="R9" s="442">
        <f t="shared" si="4"/>
        <v>8481</v>
      </c>
      <c r="S9" s="442">
        <f t="shared" si="5"/>
        <v>0</v>
      </c>
      <c r="T9" s="200">
        <f t="shared" si="6"/>
        <v>194168</v>
      </c>
    </row>
    <row r="10" spans="2:20">
      <c r="B10" s="235" t="s">
        <v>178</v>
      </c>
      <c r="C10" s="445">
        <v>2</v>
      </c>
      <c r="D10" s="446">
        <v>90</v>
      </c>
      <c r="E10" s="446">
        <v>223</v>
      </c>
      <c r="F10" s="447"/>
      <c r="G10" s="200">
        <f t="shared" si="1"/>
        <v>315</v>
      </c>
      <c r="H10" s="3"/>
      <c r="I10" s="235" t="s">
        <v>178</v>
      </c>
      <c r="J10" s="445">
        <v>1.1331002957784351</v>
      </c>
      <c r="K10" s="445">
        <v>1.1331002957784351</v>
      </c>
      <c r="L10" s="445">
        <v>1.1331002957784351</v>
      </c>
      <c r="M10" s="445">
        <v>1.13310029577844</v>
      </c>
      <c r="O10" s="235" t="s">
        <v>178</v>
      </c>
      <c r="P10" s="442">
        <f t="shared" si="2"/>
        <v>2</v>
      </c>
      <c r="Q10" s="442">
        <f t="shared" si="3"/>
        <v>102</v>
      </c>
      <c r="R10" s="442">
        <f t="shared" si="4"/>
        <v>253</v>
      </c>
      <c r="S10" s="442">
        <f t="shared" si="5"/>
        <v>0</v>
      </c>
      <c r="T10" s="200">
        <f t="shared" si="6"/>
        <v>357</v>
      </c>
    </row>
    <row r="11" spans="2:20">
      <c r="B11" s="237"/>
      <c r="C11" s="610" t="s">
        <v>168</v>
      </c>
      <c r="D11" s="610"/>
      <c r="E11" s="610"/>
      <c r="F11" s="610"/>
      <c r="G11" s="191"/>
      <c r="H11" s="3"/>
      <c r="I11" s="237"/>
      <c r="J11" s="610" t="s">
        <v>168</v>
      </c>
      <c r="K11" s="610"/>
      <c r="L11" s="610"/>
      <c r="M11" s="610"/>
      <c r="O11" s="237"/>
      <c r="P11" s="610" t="s">
        <v>168</v>
      </c>
      <c r="Q11" s="610"/>
      <c r="R11" s="610"/>
      <c r="S11" s="610"/>
      <c r="T11" s="191"/>
    </row>
    <row r="12" spans="2:20">
      <c r="B12" s="234" t="s">
        <v>179</v>
      </c>
      <c r="C12" s="232" t="s">
        <v>169</v>
      </c>
      <c r="D12" s="232" t="s">
        <v>170</v>
      </c>
      <c r="E12" s="232" t="s">
        <v>171</v>
      </c>
      <c r="F12" s="232" t="s">
        <v>172</v>
      </c>
      <c r="G12" s="190" t="s">
        <v>97</v>
      </c>
      <c r="H12" s="3"/>
      <c r="I12" s="234" t="s">
        <v>179</v>
      </c>
      <c r="J12" s="232" t="s">
        <v>169</v>
      </c>
      <c r="K12" s="232" t="s">
        <v>170</v>
      </c>
      <c r="L12" s="232" t="s">
        <v>171</v>
      </c>
      <c r="M12" s="232" t="s">
        <v>172</v>
      </c>
      <c r="O12" s="234" t="s">
        <v>179</v>
      </c>
      <c r="P12" s="232" t="s">
        <v>169</v>
      </c>
      <c r="Q12" s="232" t="s">
        <v>170</v>
      </c>
      <c r="R12" s="232" t="s">
        <v>171</v>
      </c>
      <c r="S12" s="232" t="s">
        <v>172</v>
      </c>
      <c r="T12" s="190" t="s">
        <v>97</v>
      </c>
    </row>
    <row r="13" spans="2:20">
      <c r="B13" s="235" t="s">
        <v>173</v>
      </c>
      <c r="C13" s="442">
        <v>2</v>
      </c>
      <c r="D13" s="443">
        <v>2</v>
      </c>
      <c r="E13" s="443">
        <v>1899</v>
      </c>
      <c r="F13" s="444">
        <v>30</v>
      </c>
      <c r="G13" s="200">
        <f t="shared" ref="G13:G18" si="7">SUM(C13:F13)</f>
        <v>1933</v>
      </c>
      <c r="H13" s="3"/>
      <c r="I13" s="235" t="s">
        <v>173</v>
      </c>
      <c r="J13" s="442">
        <v>1.0878896269800715</v>
      </c>
      <c r="K13" s="443">
        <v>1.0878896269800715</v>
      </c>
      <c r="L13" s="443">
        <v>1.0878896269800715</v>
      </c>
      <c r="M13" s="444">
        <v>1.0878896269800715</v>
      </c>
      <c r="O13" s="235" t="s">
        <v>173</v>
      </c>
      <c r="P13" s="442">
        <f>ROUND(C13*J13,0)</f>
        <v>2</v>
      </c>
      <c r="Q13" s="442">
        <f t="shared" ref="Q13:Q18" si="8">ROUND(D13*K13,0)</f>
        <v>2</v>
      </c>
      <c r="R13" s="442">
        <f t="shared" ref="R13:R18" si="9">ROUND(E13*L13,0)</f>
        <v>2066</v>
      </c>
      <c r="S13" s="442">
        <f t="shared" ref="S13:S18" si="10">ROUND(F13*M13,0)</f>
        <v>33</v>
      </c>
      <c r="T13" s="200">
        <f t="shared" ref="T13:T18" si="11">SUM(P13:S13)</f>
        <v>2103</v>
      </c>
    </row>
    <row r="14" spans="2:20">
      <c r="B14" s="235" t="s">
        <v>174</v>
      </c>
      <c r="C14" s="445">
        <v>3</v>
      </c>
      <c r="D14" s="446">
        <v>2</v>
      </c>
      <c r="E14" s="446">
        <v>4035</v>
      </c>
      <c r="F14" s="447">
        <v>13</v>
      </c>
      <c r="G14" s="200">
        <f t="shared" si="7"/>
        <v>4053</v>
      </c>
      <c r="H14" s="3"/>
      <c r="I14" s="235" t="s">
        <v>174</v>
      </c>
      <c r="J14" s="445">
        <v>1.0012266928361138</v>
      </c>
      <c r="K14" s="445">
        <v>1.0012266928361138</v>
      </c>
      <c r="L14" s="445">
        <v>1.0012266928361138</v>
      </c>
      <c r="M14" s="445">
        <v>1.0012266928361138</v>
      </c>
      <c r="O14" s="235" t="s">
        <v>174</v>
      </c>
      <c r="P14" s="442">
        <f t="shared" ref="P14:P18" si="12">ROUND(C14*J14,0)</f>
        <v>3</v>
      </c>
      <c r="Q14" s="442">
        <f t="shared" si="8"/>
        <v>2</v>
      </c>
      <c r="R14" s="442">
        <f t="shared" si="9"/>
        <v>4040</v>
      </c>
      <c r="S14" s="442">
        <f t="shared" si="10"/>
        <v>13</v>
      </c>
      <c r="T14" s="200">
        <f t="shared" si="11"/>
        <v>4058</v>
      </c>
    </row>
    <row r="15" spans="2:20">
      <c r="B15" s="235" t="s">
        <v>175</v>
      </c>
      <c r="C15" s="445">
        <v>5</v>
      </c>
      <c r="D15" s="446"/>
      <c r="E15" s="446"/>
      <c r="F15" s="447"/>
      <c r="G15" s="200">
        <f t="shared" si="7"/>
        <v>5</v>
      </c>
      <c r="H15" s="3"/>
      <c r="I15" s="235" t="s">
        <v>175</v>
      </c>
      <c r="J15" s="445">
        <v>1.6164405555109578</v>
      </c>
      <c r="K15" s="445">
        <v>1.6164405555109578</v>
      </c>
      <c r="L15" s="445">
        <v>1.6164405555109578</v>
      </c>
      <c r="M15" s="445">
        <v>1.6164405555109578</v>
      </c>
      <c r="O15" s="235" t="s">
        <v>175</v>
      </c>
      <c r="P15" s="442">
        <f t="shared" si="12"/>
        <v>8</v>
      </c>
      <c r="Q15" s="442">
        <f t="shared" si="8"/>
        <v>0</v>
      </c>
      <c r="R15" s="442">
        <f t="shared" si="9"/>
        <v>0</v>
      </c>
      <c r="S15" s="442">
        <f t="shared" si="10"/>
        <v>0</v>
      </c>
      <c r="T15" s="200">
        <f t="shared" si="11"/>
        <v>8</v>
      </c>
    </row>
    <row r="16" spans="2:20">
      <c r="B16" s="235" t="s">
        <v>176</v>
      </c>
      <c r="C16" s="445">
        <v>2388</v>
      </c>
      <c r="D16" s="446">
        <v>12340</v>
      </c>
      <c r="E16" s="446">
        <v>29824</v>
      </c>
      <c r="F16" s="447">
        <v>429</v>
      </c>
      <c r="G16" s="200">
        <f t="shared" si="7"/>
        <v>44981</v>
      </c>
      <c r="H16" s="3"/>
      <c r="I16" s="235" t="s">
        <v>176</v>
      </c>
      <c r="J16" s="445">
        <v>1.0260812975570686</v>
      </c>
      <c r="K16" s="445">
        <v>1.0260812975570686</v>
      </c>
      <c r="L16" s="445">
        <v>1.0260812975570686</v>
      </c>
      <c r="M16" s="445">
        <v>1.0260812975570699</v>
      </c>
      <c r="O16" s="235" t="s">
        <v>176</v>
      </c>
      <c r="P16" s="442">
        <f t="shared" si="12"/>
        <v>2450</v>
      </c>
      <c r="Q16" s="442">
        <f t="shared" si="8"/>
        <v>12662</v>
      </c>
      <c r="R16" s="442">
        <f t="shared" si="9"/>
        <v>30602</v>
      </c>
      <c r="S16" s="442">
        <f t="shared" si="10"/>
        <v>440</v>
      </c>
      <c r="T16" s="200">
        <f t="shared" si="11"/>
        <v>46154</v>
      </c>
    </row>
    <row r="17" spans="2:20">
      <c r="B17" s="235" t="s">
        <v>177</v>
      </c>
      <c r="C17" s="445">
        <v>31850</v>
      </c>
      <c r="D17" s="446">
        <v>84934</v>
      </c>
      <c r="E17" s="446">
        <v>19513</v>
      </c>
      <c r="F17" s="447">
        <v>1317</v>
      </c>
      <c r="G17" s="200">
        <f t="shared" si="7"/>
        <v>137614</v>
      </c>
      <c r="H17" s="3"/>
      <c r="I17" s="235" t="s">
        <v>177</v>
      </c>
      <c r="J17" s="445">
        <v>1.0391883351647413</v>
      </c>
      <c r="K17" s="445">
        <v>1.0391883351647413</v>
      </c>
      <c r="L17" s="445">
        <v>1.0391883351647413</v>
      </c>
      <c r="M17" s="445">
        <v>1.03918833516474</v>
      </c>
      <c r="O17" s="235" t="s">
        <v>177</v>
      </c>
      <c r="P17" s="442">
        <f t="shared" si="12"/>
        <v>33098</v>
      </c>
      <c r="Q17" s="442">
        <f t="shared" si="8"/>
        <v>88262</v>
      </c>
      <c r="R17" s="442">
        <f t="shared" si="9"/>
        <v>20278</v>
      </c>
      <c r="S17" s="442">
        <f t="shared" si="10"/>
        <v>1369</v>
      </c>
      <c r="T17" s="200">
        <f t="shared" si="11"/>
        <v>143007</v>
      </c>
    </row>
    <row r="18" spans="2:20">
      <c r="B18" s="235" t="s">
        <v>178</v>
      </c>
      <c r="C18" s="445">
        <v>37</v>
      </c>
      <c r="D18" s="446">
        <v>327</v>
      </c>
      <c r="E18" s="446">
        <v>2783</v>
      </c>
      <c r="F18" s="447">
        <v>203</v>
      </c>
      <c r="G18" s="200">
        <f t="shared" si="7"/>
        <v>3350</v>
      </c>
      <c r="H18" s="3"/>
      <c r="I18" s="235" t="s">
        <v>178</v>
      </c>
      <c r="J18" s="445">
        <v>1.1331002957784351</v>
      </c>
      <c r="K18" s="445">
        <v>1.1331002957784351</v>
      </c>
      <c r="L18" s="445">
        <v>1.1331002957784351</v>
      </c>
      <c r="M18" s="445">
        <v>1.13310029577844</v>
      </c>
      <c r="O18" s="235" t="s">
        <v>178</v>
      </c>
      <c r="P18" s="442">
        <f t="shared" si="12"/>
        <v>42</v>
      </c>
      <c r="Q18" s="442">
        <f t="shared" si="8"/>
        <v>371</v>
      </c>
      <c r="R18" s="442">
        <f t="shared" si="9"/>
        <v>3153</v>
      </c>
      <c r="S18" s="442">
        <f t="shared" si="10"/>
        <v>230</v>
      </c>
      <c r="T18" s="200">
        <f t="shared" si="11"/>
        <v>3796</v>
      </c>
    </row>
    <row r="19" spans="2:20">
      <c r="B19" s="237"/>
      <c r="C19" s="610" t="s">
        <v>166</v>
      </c>
      <c r="D19" s="610"/>
      <c r="E19" s="610"/>
      <c r="F19" s="197"/>
      <c r="G19" s="191"/>
      <c r="H19" s="3"/>
      <c r="I19" s="237"/>
      <c r="J19" s="610" t="s">
        <v>166</v>
      </c>
      <c r="K19" s="610"/>
      <c r="L19" s="610"/>
      <c r="M19" s="197"/>
      <c r="O19" s="237"/>
      <c r="P19" s="610" t="s">
        <v>166</v>
      </c>
      <c r="Q19" s="610"/>
      <c r="R19" s="610"/>
      <c r="S19" s="197"/>
      <c r="T19" s="191"/>
    </row>
    <row r="20" spans="2:20">
      <c r="B20" s="234" t="s">
        <v>179</v>
      </c>
      <c r="C20" s="232" t="s">
        <v>169</v>
      </c>
      <c r="D20" s="232" t="s">
        <v>170</v>
      </c>
      <c r="E20" s="232" t="s">
        <v>171</v>
      </c>
      <c r="F20" s="232" t="s">
        <v>172</v>
      </c>
      <c r="G20" s="190" t="s">
        <v>97</v>
      </c>
      <c r="H20" s="3"/>
      <c r="I20" s="234" t="s">
        <v>179</v>
      </c>
      <c r="J20" s="232" t="s">
        <v>169</v>
      </c>
      <c r="K20" s="232" t="s">
        <v>170</v>
      </c>
      <c r="L20" s="232" t="s">
        <v>171</v>
      </c>
      <c r="M20" s="232" t="s">
        <v>172</v>
      </c>
      <c r="O20" s="234" t="s">
        <v>179</v>
      </c>
      <c r="P20" s="232" t="s">
        <v>169</v>
      </c>
      <c r="Q20" s="232" t="s">
        <v>170</v>
      </c>
      <c r="R20" s="232" t="s">
        <v>171</v>
      </c>
      <c r="S20" s="232" t="s">
        <v>172</v>
      </c>
      <c r="T20" s="190" t="s">
        <v>97</v>
      </c>
    </row>
    <row r="21" spans="2:20">
      <c r="B21" s="235" t="s">
        <v>173</v>
      </c>
      <c r="C21" s="442"/>
      <c r="D21" s="443"/>
      <c r="E21" s="443"/>
      <c r="F21" s="444"/>
      <c r="G21" s="200">
        <f t="shared" ref="G21:G26" si="13">SUM(C21:F21)</f>
        <v>0</v>
      </c>
      <c r="H21" s="3"/>
      <c r="I21" s="235" t="s">
        <v>173</v>
      </c>
      <c r="J21" s="442">
        <v>1.0878896269800715</v>
      </c>
      <c r="K21" s="443">
        <v>1.0878896269800715</v>
      </c>
      <c r="L21" s="443">
        <v>1.0878896269800715</v>
      </c>
      <c r="M21" s="444">
        <v>1.0878896269800715</v>
      </c>
      <c r="O21" s="235" t="s">
        <v>173</v>
      </c>
      <c r="P21" s="442">
        <f>ROUND(C21*J21,0)</f>
        <v>0</v>
      </c>
      <c r="Q21" s="442">
        <f t="shared" ref="Q21:Q26" si="14">ROUND(D21*K21,0)</f>
        <v>0</v>
      </c>
      <c r="R21" s="442">
        <f t="shared" ref="R21:R26" si="15">ROUND(E21*L21,0)</f>
        <v>0</v>
      </c>
      <c r="S21" s="442">
        <f t="shared" ref="S21:S26" si="16">ROUND(F21*M21,0)</f>
        <v>0</v>
      </c>
      <c r="T21" s="200">
        <f t="shared" ref="T21:T26" si="17">SUM(P21:S21)</f>
        <v>0</v>
      </c>
    </row>
    <row r="22" spans="2:20">
      <c r="B22" s="235" t="s">
        <v>174</v>
      </c>
      <c r="C22" s="445"/>
      <c r="D22" s="446"/>
      <c r="E22" s="446">
        <v>3</v>
      </c>
      <c r="F22" s="447"/>
      <c r="G22" s="200">
        <f t="shared" si="13"/>
        <v>3</v>
      </c>
      <c r="H22" s="3"/>
      <c r="I22" s="235" t="s">
        <v>174</v>
      </c>
      <c r="J22" s="445">
        <v>1.0012266928361138</v>
      </c>
      <c r="K22" s="445">
        <v>1.0012266928361138</v>
      </c>
      <c r="L22" s="445">
        <v>1.0012266928361138</v>
      </c>
      <c r="M22" s="445">
        <v>1.0012266928361138</v>
      </c>
      <c r="O22" s="235" t="s">
        <v>174</v>
      </c>
      <c r="P22" s="442">
        <f t="shared" ref="P22:P26" si="18">ROUND(C22*J22,0)</f>
        <v>0</v>
      </c>
      <c r="Q22" s="442">
        <f t="shared" si="14"/>
        <v>0</v>
      </c>
      <c r="R22" s="442">
        <f t="shared" si="15"/>
        <v>3</v>
      </c>
      <c r="S22" s="442">
        <f t="shared" si="16"/>
        <v>0</v>
      </c>
      <c r="T22" s="200">
        <f t="shared" si="17"/>
        <v>3</v>
      </c>
    </row>
    <row r="23" spans="2:20">
      <c r="B23" s="235" t="s">
        <v>175</v>
      </c>
      <c r="C23" s="445"/>
      <c r="D23" s="446">
        <v>1</v>
      </c>
      <c r="E23" s="446"/>
      <c r="F23" s="447"/>
      <c r="G23" s="200">
        <f t="shared" si="13"/>
        <v>1</v>
      </c>
      <c r="H23" s="3"/>
      <c r="I23" s="235" t="s">
        <v>175</v>
      </c>
      <c r="J23" s="445">
        <v>1.6164405555109578</v>
      </c>
      <c r="K23" s="445">
        <v>1.6164405555109578</v>
      </c>
      <c r="L23" s="445">
        <v>1.6164405555109578</v>
      </c>
      <c r="M23" s="445">
        <v>1.6164405555109578</v>
      </c>
      <c r="O23" s="235" t="s">
        <v>175</v>
      </c>
      <c r="P23" s="442">
        <f t="shared" si="18"/>
        <v>0</v>
      </c>
      <c r="Q23" s="442">
        <f t="shared" si="14"/>
        <v>2</v>
      </c>
      <c r="R23" s="442">
        <f t="shared" si="15"/>
        <v>0</v>
      </c>
      <c r="S23" s="442">
        <f t="shared" si="16"/>
        <v>0</v>
      </c>
      <c r="T23" s="200">
        <f t="shared" si="17"/>
        <v>2</v>
      </c>
    </row>
    <row r="24" spans="2:20">
      <c r="B24" s="235" t="s">
        <v>176</v>
      </c>
      <c r="C24" s="445">
        <v>1188</v>
      </c>
      <c r="D24" s="446">
        <v>839</v>
      </c>
      <c r="E24" s="446">
        <v>340</v>
      </c>
      <c r="F24" s="447"/>
      <c r="G24" s="200">
        <f t="shared" si="13"/>
        <v>2367</v>
      </c>
      <c r="H24" s="3"/>
      <c r="I24" s="235" t="s">
        <v>176</v>
      </c>
      <c r="J24" s="445">
        <v>1.0260812975570686</v>
      </c>
      <c r="K24" s="445">
        <v>1.0260812975570686</v>
      </c>
      <c r="L24" s="445">
        <v>1.0260812975570686</v>
      </c>
      <c r="M24" s="445">
        <v>1.0260812975570699</v>
      </c>
      <c r="O24" s="235" t="s">
        <v>176</v>
      </c>
      <c r="P24" s="442">
        <f t="shared" si="18"/>
        <v>1219</v>
      </c>
      <c r="Q24" s="442">
        <f t="shared" si="14"/>
        <v>861</v>
      </c>
      <c r="R24" s="442">
        <f t="shared" si="15"/>
        <v>349</v>
      </c>
      <c r="S24" s="442">
        <f t="shared" si="16"/>
        <v>0</v>
      </c>
      <c r="T24" s="200">
        <f t="shared" si="17"/>
        <v>2429</v>
      </c>
    </row>
    <row r="25" spans="2:20">
      <c r="B25" s="235" t="s">
        <v>177</v>
      </c>
      <c r="C25" s="445">
        <v>6742</v>
      </c>
      <c r="D25" s="446">
        <v>16380</v>
      </c>
      <c r="E25" s="446">
        <v>3319</v>
      </c>
      <c r="F25" s="447"/>
      <c r="G25" s="200">
        <f t="shared" si="13"/>
        <v>26441</v>
      </c>
      <c r="H25" s="3"/>
      <c r="I25" s="235" t="s">
        <v>177</v>
      </c>
      <c r="J25" s="445">
        <v>1.0391883351647413</v>
      </c>
      <c r="K25" s="445">
        <v>1.0391883351647413</v>
      </c>
      <c r="L25" s="445">
        <v>1.0391883351647413</v>
      </c>
      <c r="M25" s="445">
        <v>1.03918833516474</v>
      </c>
      <c r="O25" s="235" t="s">
        <v>177</v>
      </c>
      <c r="P25" s="442">
        <f t="shared" si="18"/>
        <v>7006</v>
      </c>
      <c r="Q25" s="442">
        <f t="shared" si="14"/>
        <v>17022</v>
      </c>
      <c r="R25" s="442">
        <f t="shared" si="15"/>
        <v>3449</v>
      </c>
      <c r="S25" s="442">
        <f t="shared" si="16"/>
        <v>0</v>
      </c>
      <c r="T25" s="200">
        <f t="shared" si="17"/>
        <v>27477</v>
      </c>
    </row>
    <row r="26" spans="2:20">
      <c r="B26" s="235" t="s">
        <v>178</v>
      </c>
      <c r="C26" s="445">
        <v>10</v>
      </c>
      <c r="D26" s="446">
        <v>20</v>
      </c>
      <c r="E26" s="446">
        <v>19</v>
      </c>
      <c r="F26" s="447"/>
      <c r="G26" s="200">
        <f t="shared" si="13"/>
        <v>49</v>
      </c>
      <c r="H26" s="3"/>
      <c r="I26" s="235" t="s">
        <v>178</v>
      </c>
      <c r="J26" s="445">
        <v>1.1331002957784351</v>
      </c>
      <c r="K26" s="445">
        <v>1.1331002957784351</v>
      </c>
      <c r="L26" s="445">
        <v>1.1331002957784351</v>
      </c>
      <c r="M26" s="445">
        <v>1.13310029577844</v>
      </c>
      <c r="O26" s="235" t="s">
        <v>178</v>
      </c>
      <c r="P26" s="442">
        <f t="shared" si="18"/>
        <v>11</v>
      </c>
      <c r="Q26" s="442">
        <f t="shared" si="14"/>
        <v>23</v>
      </c>
      <c r="R26" s="442">
        <f t="shared" si="15"/>
        <v>22</v>
      </c>
      <c r="S26" s="442">
        <f t="shared" si="16"/>
        <v>0</v>
      </c>
      <c r="T26" s="200">
        <f t="shared" si="17"/>
        <v>56</v>
      </c>
    </row>
    <row r="27" spans="2:20">
      <c r="B27" s="237"/>
      <c r="C27" s="610" t="s">
        <v>167</v>
      </c>
      <c r="D27" s="610"/>
      <c r="E27" s="610"/>
      <c r="F27" s="610"/>
      <c r="G27" s="191"/>
      <c r="H27" s="3"/>
      <c r="I27" s="237"/>
      <c r="J27" s="610" t="s">
        <v>167</v>
      </c>
      <c r="K27" s="610"/>
      <c r="L27" s="610"/>
      <c r="M27" s="610"/>
      <c r="O27" s="237"/>
      <c r="P27" s="610" t="s">
        <v>167</v>
      </c>
      <c r="Q27" s="610"/>
      <c r="R27" s="610"/>
      <c r="S27" s="610"/>
      <c r="T27" s="191"/>
    </row>
    <row r="28" spans="2:20">
      <c r="B28" s="234" t="s">
        <v>179</v>
      </c>
      <c r="C28" s="232" t="s">
        <v>169</v>
      </c>
      <c r="D28" s="232" t="s">
        <v>170</v>
      </c>
      <c r="E28" s="232" t="s">
        <v>171</v>
      </c>
      <c r="F28" s="232" t="s">
        <v>172</v>
      </c>
      <c r="G28" s="190" t="s">
        <v>97</v>
      </c>
      <c r="H28" s="3"/>
      <c r="I28" s="234" t="s">
        <v>179</v>
      </c>
      <c r="J28" s="232" t="s">
        <v>169</v>
      </c>
      <c r="K28" s="232" t="s">
        <v>170</v>
      </c>
      <c r="L28" s="232" t="s">
        <v>171</v>
      </c>
      <c r="M28" s="232" t="s">
        <v>172</v>
      </c>
      <c r="O28" s="234" t="s">
        <v>179</v>
      </c>
      <c r="P28" s="232" t="s">
        <v>169</v>
      </c>
      <c r="Q28" s="232" t="s">
        <v>170</v>
      </c>
      <c r="R28" s="232" t="s">
        <v>171</v>
      </c>
      <c r="S28" s="232" t="s">
        <v>172</v>
      </c>
      <c r="T28" s="190" t="s">
        <v>97</v>
      </c>
    </row>
    <row r="29" spans="2:20">
      <c r="B29" s="235" t="s">
        <v>173</v>
      </c>
      <c r="C29" s="442"/>
      <c r="D29" s="443"/>
      <c r="E29" s="443">
        <v>5</v>
      </c>
      <c r="F29" s="444"/>
      <c r="G29" s="200">
        <f t="shared" ref="G29:G34" si="19">SUM(C29:F29)</f>
        <v>5</v>
      </c>
      <c r="H29" s="3"/>
      <c r="I29" s="235" t="s">
        <v>173</v>
      </c>
      <c r="J29" s="442">
        <v>1.0878896269800715</v>
      </c>
      <c r="K29" s="443">
        <v>1.0878896269800715</v>
      </c>
      <c r="L29" s="443">
        <v>1.0878896269800715</v>
      </c>
      <c r="M29" s="444">
        <v>1.0878896269800715</v>
      </c>
      <c r="O29" s="235" t="s">
        <v>173</v>
      </c>
      <c r="P29" s="442">
        <f>ROUND(C29*J29,0)</f>
        <v>0</v>
      </c>
      <c r="Q29" s="442">
        <f t="shared" ref="Q29:Q34" si="20">ROUND(D29*K29,0)</f>
        <v>0</v>
      </c>
      <c r="R29" s="442">
        <f t="shared" ref="R29:R34" si="21">ROUND(E29*L29,0)</f>
        <v>5</v>
      </c>
      <c r="S29" s="442">
        <f t="shared" ref="S29:S34" si="22">ROUND(F29*M29,0)</f>
        <v>0</v>
      </c>
      <c r="T29" s="200">
        <f t="shared" ref="T29:T34" si="23">SUM(P29:S29)</f>
        <v>5</v>
      </c>
    </row>
    <row r="30" spans="2:20">
      <c r="B30" s="235" t="s">
        <v>174</v>
      </c>
      <c r="C30" s="445"/>
      <c r="D30" s="446"/>
      <c r="E30" s="446"/>
      <c r="F30" s="447"/>
      <c r="G30" s="200">
        <f t="shared" si="19"/>
        <v>0</v>
      </c>
      <c r="H30" s="3"/>
      <c r="I30" s="235" t="s">
        <v>174</v>
      </c>
      <c r="J30" s="445">
        <v>1.0012266928361138</v>
      </c>
      <c r="K30" s="445">
        <v>1.0012266928361138</v>
      </c>
      <c r="L30" s="445">
        <v>1.0012266928361138</v>
      </c>
      <c r="M30" s="445">
        <v>1.0012266928361138</v>
      </c>
      <c r="O30" s="235" t="s">
        <v>174</v>
      </c>
      <c r="P30" s="442">
        <f t="shared" ref="P30:P34" si="24">ROUND(C30*J30,0)</f>
        <v>0</v>
      </c>
      <c r="Q30" s="442">
        <f t="shared" si="20"/>
        <v>0</v>
      </c>
      <c r="R30" s="442">
        <f t="shared" si="21"/>
        <v>0</v>
      </c>
      <c r="S30" s="442">
        <f t="shared" si="22"/>
        <v>0</v>
      </c>
      <c r="T30" s="200">
        <f t="shared" si="23"/>
        <v>0</v>
      </c>
    </row>
    <row r="31" spans="2:20">
      <c r="B31" s="235" t="s">
        <v>175</v>
      </c>
      <c r="C31" s="445"/>
      <c r="D31" s="446"/>
      <c r="E31" s="446"/>
      <c r="F31" s="447"/>
      <c r="G31" s="200">
        <f t="shared" si="19"/>
        <v>0</v>
      </c>
      <c r="H31" s="3"/>
      <c r="I31" s="235" t="s">
        <v>175</v>
      </c>
      <c r="J31" s="445">
        <v>1.6164405555109578</v>
      </c>
      <c r="K31" s="445">
        <v>1.6164405555109578</v>
      </c>
      <c r="L31" s="445">
        <v>1.6164405555109578</v>
      </c>
      <c r="M31" s="445">
        <v>1.6164405555109578</v>
      </c>
      <c r="O31" s="235" t="s">
        <v>175</v>
      </c>
      <c r="P31" s="442">
        <f t="shared" si="24"/>
        <v>0</v>
      </c>
      <c r="Q31" s="442">
        <f t="shared" si="20"/>
        <v>0</v>
      </c>
      <c r="R31" s="442">
        <f t="shared" si="21"/>
        <v>0</v>
      </c>
      <c r="S31" s="442">
        <f t="shared" si="22"/>
        <v>0</v>
      </c>
      <c r="T31" s="200">
        <f t="shared" si="23"/>
        <v>0</v>
      </c>
    </row>
    <row r="32" spans="2:20">
      <c r="B32" s="235" t="s">
        <v>176</v>
      </c>
      <c r="C32" s="445">
        <v>49</v>
      </c>
      <c r="D32" s="446">
        <v>64</v>
      </c>
      <c r="E32" s="446">
        <v>47</v>
      </c>
      <c r="F32" s="447"/>
      <c r="G32" s="200">
        <f t="shared" si="19"/>
        <v>160</v>
      </c>
      <c r="H32" s="3"/>
      <c r="I32" s="235" t="s">
        <v>176</v>
      </c>
      <c r="J32" s="445">
        <v>1.0260812975570686</v>
      </c>
      <c r="K32" s="445">
        <v>1.0260812975570686</v>
      </c>
      <c r="L32" s="445">
        <v>1.0260812975570686</v>
      </c>
      <c r="M32" s="445">
        <v>1.0260812975570699</v>
      </c>
      <c r="O32" s="235" t="s">
        <v>176</v>
      </c>
      <c r="P32" s="442">
        <f t="shared" si="24"/>
        <v>50</v>
      </c>
      <c r="Q32" s="442">
        <f t="shared" si="20"/>
        <v>66</v>
      </c>
      <c r="R32" s="442">
        <f t="shared" si="21"/>
        <v>48</v>
      </c>
      <c r="S32" s="442">
        <f t="shared" si="22"/>
        <v>0</v>
      </c>
      <c r="T32" s="200">
        <f t="shared" si="23"/>
        <v>164</v>
      </c>
    </row>
    <row r="33" spans="2:20">
      <c r="B33" s="235" t="s">
        <v>177</v>
      </c>
      <c r="C33" s="445">
        <v>30</v>
      </c>
      <c r="D33" s="446">
        <v>109</v>
      </c>
      <c r="E33" s="446">
        <v>11</v>
      </c>
      <c r="F33" s="447"/>
      <c r="G33" s="200">
        <f t="shared" si="19"/>
        <v>150</v>
      </c>
      <c r="H33" s="3"/>
      <c r="I33" s="235" t="s">
        <v>177</v>
      </c>
      <c r="J33" s="445">
        <v>1.0391883351647413</v>
      </c>
      <c r="K33" s="445">
        <v>1.0391883351647413</v>
      </c>
      <c r="L33" s="445">
        <v>1.0391883351647413</v>
      </c>
      <c r="M33" s="445">
        <v>1.03918833516474</v>
      </c>
      <c r="O33" s="235" t="s">
        <v>177</v>
      </c>
      <c r="P33" s="442">
        <f t="shared" si="24"/>
        <v>31</v>
      </c>
      <c r="Q33" s="442">
        <f t="shared" si="20"/>
        <v>113</v>
      </c>
      <c r="R33" s="442">
        <f t="shared" si="21"/>
        <v>11</v>
      </c>
      <c r="S33" s="442">
        <f t="shared" si="22"/>
        <v>0</v>
      </c>
      <c r="T33" s="200">
        <f t="shared" si="23"/>
        <v>155</v>
      </c>
    </row>
    <row r="34" spans="2:20">
      <c r="B34" s="235" t="s">
        <v>178</v>
      </c>
      <c r="C34" s="445">
        <v>2</v>
      </c>
      <c r="D34" s="446"/>
      <c r="E34" s="446">
        <v>3</v>
      </c>
      <c r="F34" s="447"/>
      <c r="G34" s="200">
        <f t="shared" si="19"/>
        <v>5</v>
      </c>
      <c r="H34" s="3"/>
      <c r="I34" s="235" t="s">
        <v>178</v>
      </c>
      <c r="J34" s="445">
        <v>1.1331002957784351</v>
      </c>
      <c r="K34" s="445">
        <v>1.1331002957784351</v>
      </c>
      <c r="L34" s="445">
        <v>1.1331002957784351</v>
      </c>
      <c r="M34" s="445">
        <v>1.13310029577844</v>
      </c>
      <c r="O34" s="235" t="s">
        <v>178</v>
      </c>
      <c r="P34" s="442">
        <f t="shared" si="24"/>
        <v>2</v>
      </c>
      <c r="Q34" s="442">
        <f t="shared" si="20"/>
        <v>0</v>
      </c>
      <c r="R34" s="442">
        <f t="shared" si="21"/>
        <v>3</v>
      </c>
      <c r="S34" s="442">
        <f t="shared" si="22"/>
        <v>0</v>
      </c>
      <c r="T34" s="200">
        <f t="shared" si="23"/>
        <v>5</v>
      </c>
    </row>
    <row r="35" spans="2:20">
      <c r="B35" s="237"/>
      <c r="C35" s="610" t="s">
        <v>163</v>
      </c>
      <c r="D35" s="610"/>
      <c r="E35" s="610"/>
      <c r="F35" s="610"/>
      <c r="G35" s="191"/>
      <c r="H35" s="3"/>
      <c r="I35" s="237"/>
      <c r="J35" s="610" t="s">
        <v>163</v>
      </c>
      <c r="K35" s="610"/>
      <c r="L35" s="610"/>
      <c r="M35" s="610"/>
      <c r="O35" s="237"/>
      <c r="P35" s="610" t="s">
        <v>163</v>
      </c>
      <c r="Q35" s="610"/>
      <c r="R35" s="610"/>
      <c r="S35" s="610"/>
      <c r="T35" s="191"/>
    </row>
    <row r="36" spans="2:20">
      <c r="B36" s="234" t="s">
        <v>179</v>
      </c>
      <c r="C36" s="232" t="s">
        <v>169</v>
      </c>
      <c r="D36" s="232" t="s">
        <v>170</v>
      </c>
      <c r="E36" s="232" t="s">
        <v>171</v>
      </c>
      <c r="F36" s="232" t="s">
        <v>172</v>
      </c>
      <c r="G36" s="190" t="s">
        <v>97</v>
      </c>
      <c r="H36" s="3"/>
      <c r="I36" s="234" t="s">
        <v>179</v>
      </c>
      <c r="J36" s="232" t="s">
        <v>169</v>
      </c>
      <c r="K36" s="232" t="s">
        <v>170</v>
      </c>
      <c r="L36" s="232" t="s">
        <v>171</v>
      </c>
      <c r="M36" s="232" t="s">
        <v>172</v>
      </c>
      <c r="O36" s="234" t="s">
        <v>179</v>
      </c>
      <c r="P36" s="232" t="s">
        <v>169</v>
      </c>
      <c r="Q36" s="232" t="s">
        <v>170</v>
      </c>
      <c r="R36" s="232" t="s">
        <v>171</v>
      </c>
      <c r="S36" s="232" t="s">
        <v>172</v>
      </c>
      <c r="T36" s="190" t="s">
        <v>97</v>
      </c>
    </row>
    <row r="37" spans="2:20">
      <c r="B37" s="235" t="s">
        <v>173</v>
      </c>
      <c r="C37" s="442"/>
      <c r="D37" s="443"/>
      <c r="E37" s="443"/>
      <c r="F37" s="444"/>
      <c r="G37" s="200">
        <f t="shared" ref="G37:G42" si="25">SUM(C37:F37)</f>
        <v>0</v>
      </c>
      <c r="H37" s="3"/>
      <c r="I37" s="235" t="s">
        <v>173</v>
      </c>
      <c r="J37" s="442">
        <v>1.0878896269800715</v>
      </c>
      <c r="K37" s="443">
        <v>1.0878896269800715</v>
      </c>
      <c r="L37" s="443">
        <v>1.0878896269800715</v>
      </c>
      <c r="M37" s="444">
        <v>1.0878896269800715</v>
      </c>
      <c r="O37" s="235" t="s">
        <v>173</v>
      </c>
      <c r="P37" s="442">
        <f>ROUND(C37*J37,0)</f>
        <v>0</v>
      </c>
      <c r="Q37" s="442">
        <f t="shared" ref="Q37:Q42" si="26">ROUND(D37*K37,0)</f>
        <v>0</v>
      </c>
      <c r="R37" s="442">
        <f t="shared" ref="R37:R42" si="27">ROUND(E37*L37,0)</f>
        <v>0</v>
      </c>
      <c r="S37" s="442">
        <f t="shared" ref="S37:S42" si="28">ROUND(F37*M37,0)</f>
        <v>0</v>
      </c>
      <c r="T37" s="200">
        <f t="shared" ref="T37:T42" si="29">SUM(P37:S37)</f>
        <v>0</v>
      </c>
    </row>
    <row r="38" spans="2:20">
      <c r="B38" s="235" t="s">
        <v>174</v>
      </c>
      <c r="C38" s="445"/>
      <c r="D38" s="446"/>
      <c r="E38" s="446"/>
      <c r="F38" s="447"/>
      <c r="G38" s="200">
        <f t="shared" si="25"/>
        <v>0</v>
      </c>
      <c r="H38" s="3"/>
      <c r="I38" s="235" t="s">
        <v>174</v>
      </c>
      <c r="J38" s="445">
        <v>1.0012266928361138</v>
      </c>
      <c r="K38" s="445">
        <v>1.0012266928361138</v>
      </c>
      <c r="L38" s="445">
        <v>1.0012266928361138</v>
      </c>
      <c r="M38" s="445">
        <v>1.0012266928361138</v>
      </c>
      <c r="O38" s="235" t="s">
        <v>174</v>
      </c>
      <c r="P38" s="442">
        <f t="shared" ref="P38:P42" si="30">ROUND(C38*J38,0)</f>
        <v>0</v>
      </c>
      <c r="Q38" s="442">
        <f t="shared" si="26"/>
        <v>0</v>
      </c>
      <c r="R38" s="442">
        <f t="shared" si="27"/>
        <v>0</v>
      </c>
      <c r="S38" s="442">
        <f t="shared" si="28"/>
        <v>0</v>
      </c>
      <c r="T38" s="200">
        <f t="shared" si="29"/>
        <v>0</v>
      </c>
    </row>
    <row r="39" spans="2:20">
      <c r="B39" s="235" t="s">
        <v>175</v>
      </c>
      <c r="C39" s="445"/>
      <c r="D39" s="446"/>
      <c r="E39" s="446"/>
      <c r="F39" s="447"/>
      <c r="G39" s="200">
        <f t="shared" si="25"/>
        <v>0</v>
      </c>
      <c r="H39" s="3"/>
      <c r="I39" s="235" t="s">
        <v>175</v>
      </c>
      <c r="J39" s="445">
        <v>1.6164405555109578</v>
      </c>
      <c r="K39" s="445">
        <v>1.6164405555109578</v>
      </c>
      <c r="L39" s="445">
        <v>1.6164405555109578</v>
      </c>
      <c r="M39" s="445">
        <v>1.6164405555109578</v>
      </c>
      <c r="O39" s="235" t="s">
        <v>175</v>
      </c>
      <c r="P39" s="442">
        <f t="shared" si="30"/>
        <v>0</v>
      </c>
      <c r="Q39" s="442">
        <f t="shared" si="26"/>
        <v>0</v>
      </c>
      <c r="R39" s="442">
        <f t="shared" si="27"/>
        <v>0</v>
      </c>
      <c r="S39" s="442">
        <f t="shared" si="28"/>
        <v>0</v>
      </c>
      <c r="T39" s="200">
        <f t="shared" si="29"/>
        <v>0</v>
      </c>
    </row>
    <row r="40" spans="2:20">
      <c r="B40" s="235" t="s">
        <v>176</v>
      </c>
      <c r="C40" s="445"/>
      <c r="D40" s="446"/>
      <c r="E40" s="446"/>
      <c r="F40" s="447"/>
      <c r="G40" s="200">
        <f t="shared" si="25"/>
        <v>0</v>
      </c>
      <c r="H40" s="3"/>
      <c r="I40" s="235" t="s">
        <v>176</v>
      </c>
      <c r="J40" s="445">
        <v>1.0260812975570686</v>
      </c>
      <c r="K40" s="445">
        <v>1.0260812975570686</v>
      </c>
      <c r="L40" s="445">
        <v>1.0260812975570686</v>
      </c>
      <c r="M40" s="445">
        <v>1.0260812975570699</v>
      </c>
      <c r="O40" s="235" t="s">
        <v>176</v>
      </c>
      <c r="P40" s="442">
        <f t="shared" si="30"/>
        <v>0</v>
      </c>
      <c r="Q40" s="442">
        <f t="shared" si="26"/>
        <v>0</v>
      </c>
      <c r="R40" s="442">
        <f t="shared" si="27"/>
        <v>0</v>
      </c>
      <c r="S40" s="442">
        <f t="shared" si="28"/>
        <v>0</v>
      </c>
      <c r="T40" s="200">
        <f t="shared" si="29"/>
        <v>0</v>
      </c>
    </row>
    <row r="41" spans="2:20">
      <c r="B41" s="235" t="s">
        <v>177</v>
      </c>
      <c r="C41" s="445"/>
      <c r="D41" s="446">
        <v>1</v>
      </c>
      <c r="E41" s="446"/>
      <c r="F41" s="447"/>
      <c r="G41" s="200">
        <f t="shared" si="25"/>
        <v>1</v>
      </c>
      <c r="H41" s="3"/>
      <c r="I41" s="235" t="s">
        <v>177</v>
      </c>
      <c r="J41" s="445">
        <v>1.0391883351647413</v>
      </c>
      <c r="K41" s="445">
        <v>1.0391883351647413</v>
      </c>
      <c r="L41" s="445">
        <v>1.0391883351647413</v>
      </c>
      <c r="M41" s="445">
        <v>1.03918833516474</v>
      </c>
      <c r="O41" s="235" t="s">
        <v>177</v>
      </c>
      <c r="P41" s="442">
        <f t="shared" si="30"/>
        <v>0</v>
      </c>
      <c r="Q41" s="442">
        <f t="shared" si="26"/>
        <v>1</v>
      </c>
      <c r="R41" s="442">
        <f t="shared" si="27"/>
        <v>0</v>
      </c>
      <c r="S41" s="442">
        <f t="shared" si="28"/>
        <v>0</v>
      </c>
      <c r="T41" s="200">
        <f t="shared" si="29"/>
        <v>1</v>
      </c>
    </row>
    <row r="42" spans="2:20">
      <c r="B42" s="235" t="s">
        <v>178</v>
      </c>
      <c r="C42" s="445"/>
      <c r="D42" s="446"/>
      <c r="E42" s="446"/>
      <c r="F42" s="447"/>
      <c r="G42" s="200">
        <f t="shared" si="25"/>
        <v>0</v>
      </c>
      <c r="H42" s="3"/>
      <c r="I42" s="235" t="s">
        <v>178</v>
      </c>
      <c r="J42" s="445">
        <v>1.1331002957784351</v>
      </c>
      <c r="K42" s="445">
        <v>1.1331002957784351</v>
      </c>
      <c r="L42" s="445">
        <v>1.1331002957784351</v>
      </c>
      <c r="M42" s="445">
        <v>1.13310029577844</v>
      </c>
      <c r="O42" s="235" t="s">
        <v>178</v>
      </c>
      <c r="P42" s="442">
        <f t="shared" si="30"/>
        <v>0</v>
      </c>
      <c r="Q42" s="442">
        <f t="shared" si="26"/>
        <v>0</v>
      </c>
      <c r="R42" s="442">
        <f t="shared" si="27"/>
        <v>0</v>
      </c>
      <c r="S42" s="442">
        <f t="shared" si="28"/>
        <v>0</v>
      </c>
      <c r="T42" s="200">
        <f t="shared" si="29"/>
        <v>0</v>
      </c>
    </row>
    <row r="43" spans="2:20">
      <c r="B43" s="237"/>
      <c r="C43" s="610" t="s">
        <v>165</v>
      </c>
      <c r="D43" s="610"/>
      <c r="E43" s="610"/>
      <c r="F43" s="610"/>
      <c r="G43" s="191"/>
      <c r="H43" s="3"/>
      <c r="I43" s="237"/>
      <c r="J43" s="610" t="s">
        <v>165</v>
      </c>
      <c r="K43" s="610"/>
      <c r="L43" s="610"/>
      <c r="M43" s="610"/>
      <c r="O43" s="237"/>
      <c r="P43" s="610" t="s">
        <v>165</v>
      </c>
      <c r="Q43" s="610"/>
      <c r="R43" s="610"/>
      <c r="S43" s="610"/>
      <c r="T43" s="191"/>
    </row>
    <row r="44" spans="2:20">
      <c r="B44" s="234" t="s">
        <v>179</v>
      </c>
      <c r="C44" s="232" t="s">
        <v>169</v>
      </c>
      <c r="D44" s="232" t="s">
        <v>170</v>
      </c>
      <c r="E44" s="232" t="s">
        <v>171</v>
      </c>
      <c r="F44" s="232" t="s">
        <v>172</v>
      </c>
      <c r="G44" s="190" t="s">
        <v>97</v>
      </c>
      <c r="H44" s="3"/>
      <c r="I44" s="234" t="s">
        <v>179</v>
      </c>
      <c r="J44" s="232" t="s">
        <v>169</v>
      </c>
      <c r="K44" s="232" t="s">
        <v>170</v>
      </c>
      <c r="L44" s="232" t="s">
        <v>171</v>
      </c>
      <c r="M44" s="232" t="s">
        <v>172</v>
      </c>
      <c r="O44" s="234" t="s">
        <v>179</v>
      </c>
      <c r="P44" s="232" t="s">
        <v>169</v>
      </c>
      <c r="Q44" s="232" t="s">
        <v>170</v>
      </c>
      <c r="R44" s="232" t="s">
        <v>171</v>
      </c>
      <c r="S44" s="232" t="s">
        <v>172</v>
      </c>
      <c r="T44" s="190" t="s">
        <v>97</v>
      </c>
    </row>
    <row r="45" spans="2:20">
      <c r="B45" s="235" t="s">
        <v>173</v>
      </c>
      <c r="C45" s="442"/>
      <c r="D45" s="443"/>
      <c r="E45" s="443"/>
      <c r="F45" s="444"/>
      <c r="G45" s="200">
        <f t="shared" ref="G45:G50" si="31">SUM(C45:F45)</f>
        <v>0</v>
      </c>
      <c r="H45" s="3"/>
      <c r="I45" s="235" t="s">
        <v>173</v>
      </c>
      <c r="J45" s="442">
        <v>1.0878896269800715</v>
      </c>
      <c r="K45" s="443">
        <v>1.0878896269800715</v>
      </c>
      <c r="L45" s="443">
        <v>1.0878896269800715</v>
      </c>
      <c r="M45" s="444">
        <v>1.0878896269800715</v>
      </c>
      <c r="O45" s="235" t="s">
        <v>173</v>
      </c>
      <c r="P45" s="442">
        <f>ROUND(C45*J45,0)</f>
        <v>0</v>
      </c>
      <c r="Q45" s="442">
        <f t="shared" ref="Q45:Q50" si="32">ROUND(D45*K45,0)</f>
        <v>0</v>
      </c>
      <c r="R45" s="442">
        <f t="shared" ref="R45:R50" si="33">ROUND(E45*L45,0)</f>
        <v>0</v>
      </c>
      <c r="S45" s="442">
        <f t="shared" ref="S45:S50" si="34">ROUND(F45*M45,0)</f>
        <v>0</v>
      </c>
      <c r="T45" s="200">
        <f t="shared" ref="T45:T50" si="35">SUM(P45:S45)</f>
        <v>0</v>
      </c>
    </row>
    <row r="46" spans="2:20">
      <c r="B46" s="235" t="s">
        <v>174</v>
      </c>
      <c r="C46" s="445"/>
      <c r="D46" s="446"/>
      <c r="E46" s="446"/>
      <c r="F46" s="447"/>
      <c r="G46" s="200">
        <f t="shared" si="31"/>
        <v>0</v>
      </c>
      <c r="H46" s="3"/>
      <c r="I46" s="235" t="s">
        <v>174</v>
      </c>
      <c r="J46" s="445">
        <v>1.0012266928361138</v>
      </c>
      <c r="K46" s="445">
        <v>1.0012266928361138</v>
      </c>
      <c r="L46" s="445">
        <v>1.0012266928361138</v>
      </c>
      <c r="M46" s="445">
        <v>1.0012266928361138</v>
      </c>
      <c r="O46" s="235" t="s">
        <v>174</v>
      </c>
      <c r="P46" s="442">
        <f t="shared" ref="P46:P50" si="36">ROUND(C46*J46,0)</f>
        <v>0</v>
      </c>
      <c r="Q46" s="442">
        <f t="shared" si="32"/>
        <v>0</v>
      </c>
      <c r="R46" s="442">
        <f t="shared" si="33"/>
        <v>0</v>
      </c>
      <c r="S46" s="442">
        <f t="shared" si="34"/>
        <v>0</v>
      </c>
      <c r="T46" s="200">
        <f t="shared" si="35"/>
        <v>0</v>
      </c>
    </row>
    <row r="47" spans="2:20">
      <c r="B47" s="235" t="s">
        <v>175</v>
      </c>
      <c r="C47" s="445"/>
      <c r="D47" s="446"/>
      <c r="E47" s="446"/>
      <c r="F47" s="447"/>
      <c r="G47" s="200">
        <f t="shared" si="31"/>
        <v>0</v>
      </c>
      <c r="H47" s="3"/>
      <c r="I47" s="235" t="s">
        <v>175</v>
      </c>
      <c r="J47" s="445">
        <v>1.6164405555109578</v>
      </c>
      <c r="K47" s="445">
        <v>1.6164405555109578</v>
      </c>
      <c r="L47" s="445">
        <v>1.6164405555109578</v>
      </c>
      <c r="M47" s="445">
        <v>1.6164405555109578</v>
      </c>
      <c r="O47" s="235" t="s">
        <v>175</v>
      </c>
      <c r="P47" s="442">
        <f t="shared" si="36"/>
        <v>0</v>
      </c>
      <c r="Q47" s="442">
        <f t="shared" si="32"/>
        <v>0</v>
      </c>
      <c r="R47" s="442">
        <f t="shared" si="33"/>
        <v>0</v>
      </c>
      <c r="S47" s="442">
        <f t="shared" si="34"/>
        <v>0</v>
      </c>
      <c r="T47" s="200">
        <f t="shared" si="35"/>
        <v>0</v>
      </c>
    </row>
    <row r="48" spans="2:20">
      <c r="B48" s="235" t="s">
        <v>176</v>
      </c>
      <c r="C48" s="445"/>
      <c r="D48" s="446"/>
      <c r="E48" s="446"/>
      <c r="F48" s="447"/>
      <c r="G48" s="200">
        <f t="shared" si="31"/>
        <v>0</v>
      </c>
      <c r="H48" s="3"/>
      <c r="I48" s="235" t="s">
        <v>176</v>
      </c>
      <c r="J48" s="445">
        <v>1.0260812975570686</v>
      </c>
      <c r="K48" s="445">
        <v>1.0260812975570686</v>
      </c>
      <c r="L48" s="445">
        <v>1.0260812975570686</v>
      </c>
      <c r="M48" s="445">
        <v>1.0260812975570699</v>
      </c>
      <c r="O48" s="235" t="s">
        <v>176</v>
      </c>
      <c r="P48" s="442">
        <f t="shared" si="36"/>
        <v>0</v>
      </c>
      <c r="Q48" s="442">
        <f t="shared" si="32"/>
        <v>0</v>
      </c>
      <c r="R48" s="442">
        <f t="shared" si="33"/>
        <v>0</v>
      </c>
      <c r="S48" s="442">
        <f t="shared" si="34"/>
        <v>0</v>
      </c>
      <c r="T48" s="200">
        <f t="shared" si="35"/>
        <v>0</v>
      </c>
    </row>
    <row r="49" spans="2:20">
      <c r="B49" s="235" t="s">
        <v>177</v>
      </c>
      <c r="C49" s="445"/>
      <c r="D49" s="446">
        <v>3</v>
      </c>
      <c r="E49" s="446"/>
      <c r="F49" s="447"/>
      <c r="G49" s="200">
        <f t="shared" si="31"/>
        <v>3</v>
      </c>
      <c r="H49" s="3"/>
      <c r="I49" s="235" t="s">
        <v>177</v>
      </c>
      <c r="J49" s="445">
        <v>1.0391883351647413</v>
      </c>
      <c r="K49" s="445">
        <v>1.0391883351647413</v>
      </c>
      <c r="L49" s="445">
        <v>1.0391883351647413</v>
      </c>
      <c r="M49" s="445">
        <v>1.03918833516474</v>
      </c>
      <c r="O49" s="235" t="s">
        <v>177</v>
      </c>
      <c r="P49" s="442">
        <f t="shared" si="36"/>
        <v>0</v>
      </c>
      <c r="Q49" s="442">
        <f t="shared" si="32"/>
        <v>3</v>
      </c>
      <c r="R49" s="442">
        <f t="shared" si="33"/>
        <v>0</v>
      </c>
      <c r="S49" s="442">
        <f t="shared" si="34"/>
        <v>0</v>
      </c>
      <c r="T49" s="200">
        <f t="shared" si="35"/>
        <v>3</v>
      </c>
    </row>
    <row r="50" spans="2:20">
      <c r="B50" s="235" t="s">
        <v>178</v>
      </c>
      <c r="C50" s="445"/>
      <c r="D50" s="446"/>
      <c r="E50" s="446"/>
      <c r="F50" s="447"/>
      <c r="G50" s="200">
        <f t="shared" si="31"/>
        <v>0</v>
      </c>
      <c r="H50" s="3"/>
      <c r="I50" s="235" t="s">
        <v>178</v>
      </c>
      <c r="J50" s="445">
        <v>1.1331002957784351</v>
      </c>
      <c r="K50" s="445">
        <v>1.1331002957784351</v>
      </c>
      <c r="L50" s="445">
        <v>1.1331002957784351</v>
      </c>
      <c r="M50" s="445">
        <v>1.13310029577844</v>
      </c>
      <c r="O50" s="235" t="s">
        <v>178</v>
      </c>
      <c r="P50" s="442">
        <f t="shared" si="36"/>
        <v>0</v>
      </c>
      <c r="Q50" s="442">
        <f t="shared" si="32"/>
        <v>0</v>
      </c>
      <c r="R50" s="442">
        <f t="shared" si="33"/>
        <v>0</v>
      </c>
      <c r="S50" s="442">
        <f t="shared" si="34"/>
        <v>0</v>
      </c>
      <c r="T50" s="200">
        <f t="shared" si="35"/>
        <v>0</v>
      </c>
    </row>
    <row r="51" spans="2:20">
      <c r="B51" s="237"/>
      <c r="C51" s="610" t="s">
        <v>164</v>
      </c>
      <c r="D51" s="610"/>
      <c r="E51" s="610"/>
      <c r="F51" s="610"/>
      <c r="G51" s="191"/>
      <c r="H51" s="3"/>
      <c r="I51" s="237"/>
      <c r="J51" s="610" t="s">
        <v>164</v>
      </c>
      <c r="K51" s="610"/>
      <c r="L51" s="610"/>
      <c r="M51" s="610"/>
      <c r="O51" s="237"/>
      <c r="P51" s="610" t="s">
        <v>164</v>
      </c>
      <c r="Q51" s="610"/>
      <c r="R51" s="610"/>
      <c r="S51" s="610"/>
      <c r="T51" s="191"/>
    </row>
    <row r="52" spans="2:20">
      <c r="B52" s="234" t="s">
        <v>179</v>
      </c>
      <c r="C52" s="232" t="s">
        <v>169</v>
      </c>
      <c r="D52" s="232" t="s">
        <v>170</v>
      </c>
      <c r="E52" s="232" t="s">
        <v>171</v>
      </c>
      <c r="F52" s="232" t="s">
        <v>172</v>
      </c>
      <c r="G52" s="190" t="s">
        <v>97</v>
      </c>
      <c r="H52" s="3"/>
      <c r="I52" s="234" t="s">
        <v>179</v>
      </c>
      <c r="J52" s="232" t="s">
        <v>169</v>
      </c>
      <c r="K52" s="232" t="s">
        <v>170</v>
      </c>
      <c r="L52" s="232" t="s">
        <v>171</v>
      </c>
      <c r="M52" s="232" t="s">
        <v>172</v>
      </c>
      <c r="O52" s="234" t="s">
        <v>179</v>
      </c>
      <c r="P52" s="232" t="s">
        <v>169</v>
      </c>
      <c r="Q52" s="232" t="s">
        <v>170</v>
      </c>
      <c r="R52" s="232" t="s">
        <v>171</v>
      </c>
      <c r="S52" s="232" t="s">
        <v>172</v>
      </c>
      <c r="T52" s="190" t="s">
        <v>97</v>
      </c>
    </row>
    <row r="53" spans="2:20">
      <c r="B53" s="235" t="s">
        <v>173</v>
      </c>
      <c r="C53" s="442"/>
      <c r="D53" s="443"/>
      <c r="E53" s="443"/>
      <c r="F53" s="444"/>
      <c r="G53" s="200">
        <f t="shared" ref="G53:G58" si="37">SUM(C53:F53)</f>
        <v>0</v>
      </c>
      <c r="H53" s="3"/>
      <c r="I53" s="235" t="s">
        <v>173</v>
      </c>
      <c r="J53" s="442">
        <v>1.0878896269800715</v>
      </c>
      <c r="K53" s="443">
        <v>1.0878896269800715</v>
      </c>
      <c r="L53" s="443">
        <v>1.0878896269800715</v>
      </c>
      <c r="M53" s="444">
        <v>1.0878896269800715</v>
      </c>
      <c r="O53" s="235" t="s">
        <v>173</v>
      </c>
      <c r="P53" s="442"/>
      <c r="Q53" s="443"/>
      <c r="R53" s="443"/>
      <c r="S53" s="444"/>
      <c r="T53" s="200">
        <f t="shared" ref="T53:T58" si="38">SUM(P53:S53)</f>
        <v>0</v>
      </c>
    </row>
    <row r="54" spans="2:20">
      <c r="B54" s="235" t="s">
        <v>174</v>
      </c>
      <c r="C54" s="445"/>
      <c r="D54" s="446"/>
      <c r="E54" s="446"/>
      <c r="F54" s="447"/>
      <c r="G54" s="200">
        <f t="shared" si="37"/>
        <v>0</v>
      </c>
      <c r="H54" s="3"/>
      <c r="I54" s="235" t="s">
        <v>174</v>
      </c>
      <c r="J54" s="445">
        <v>1.0012266928361138</v>
      </c>
      <c r="K54" s="445">
        <v>1.0012266928361138</v>
      </c>
      <c r="L54" s="445">
        <v>1.0012266928361138</v>
      </c>
      <c r="M54" s="445">
        <v>1.0012266928361138</v>
      </c>
      <c r="O54" s="235" t="s">
        <v>174</v>
      </c>
      <c r="P54" s="445"/>
      <c r="Q54" s="446"/>
      <c r="R54" s="446"/>
      <c r="S54" s="447"/>
      <c r="T54" s="200">
        <f t="shared" si="38"/>
        <v>0</v>
      </c>
    </row>
    <row r="55" spans="2:20">
      <c r="B55" s="235" t="s">
        <v>175</v>
      </c>
      <c r="C55" s="445"/>
      <c r="D55" s="446"/>
      <c r="E55" s="446"/>
      <c r="F55" s="447"/>
      <c r="G55" s="200">
        <f t="shared" si="37"/>
        <v>0</v>
      </c>
      <c r="H55" s="3"/>
      <c r="I55" s="235" t="s">
        <v>175</v>
      </c>
      <c r="J55" s="445">
        <v>1.6164405555109578</v>
      </c>
      <c r="K55" s="445">
        <v>1.6164405555109578</v>
      </c>
      <c r="L55" s="445">
        <v>1.6164405555109578</v>
      </c>
      <c r="M55" s="445">
        <v>1.6164405555109578</v>
      </c>
      <c r="O55" s="235" t="s">
        <v>175</v>
      </c>
      <c r="P55" s="445"/>
      <c r="Q55" s="446"/>
      <c r="R55" s="446"/>
      <c r="S55" s="447"/>
      <c r="T55" s="200">
        <f t="shared" si="38"/>
        <v>0</v>
      </c>
    </row>
    <row r="56" spans="2:20">
      <c r="B56" s="235" t="s">
        <v>176</v>
      </c>
      <c r="C56" s="445"/>
      <c r="D56" s="446"/>
      <c r="E56" s="446"/>
      <c r="F56" s="447"/>
      <c r="G56" s="200">
        <f t="shared" si="37"/>
        <v>0</v>
      </c>
      <c r="H56" s="3"/>
      <c r="I56" s="235" t="s">
        <v>176</v>
      </c>
      <c r="J56" s="445">
        <v>1.0260812975570686</v>
      </c>
      <c r="K56" s="445">
        <v>1.0260812975570686</v>
      </c>
      <c r="L56" s="445">
        <v>1.0260812975570686</v>
      </c>
      <c r="M56" s="445">
        <v>1.0260812975570699</v>
      </c>
      <c r="O56" s="235" t="s">
        <v>176</v>
      </c>
      <c r="P56" s="445"/>
      <c r="Q56" s="446"/>
      <c r="R56" s="446"/>
      <c r="S56" s="447"/>
      <c r="T56" s="200">
        <f t="shared" si="38"/>
        <v>0</v>
      </c>
    </row>
    <row r="57" spans="2:20">
      <c r="B57" s="235" t="s">
        <v>177</v>
      </c>
      <c r="C57" s="445"/>
      <c r="D57" s="446"/>
      <c r="E57" s="446"/>
      <c r="F57" s="447"/>
      <c r="G57" s="200">
        <f t="shared" si="37"/>
        <v>0</v>
      </c>
      <c r="H57" s="3"/>
      <c r="I57" s="235" t="s">
        <v>177</v>
      </c>
      <c r="J57" s="445">
        <v>1.0391883351647413</v>
      </c>
      <c r="K57" s="445">
        <v>1.0391883351647413</v>
      </c>
      <c r="L57" s="445">
        <v>1.0391883351647413</v>
      </c>
      <c r="M57" s="445">
        <v>1.03918833516474</v>
      </c>
      <c r="O57" s="235" t="s">
        <v>177</v>
      </c>
      <c r="P57" s="445">
        <v>223</v>
      </c>
      <c r="Q57" s="446"/>
      <c r="R57" s="446"/>
      <c r="S57" s="447"/>
      <c r="T57" s="200">
        <f t="shared" si="38"/>
        <v>223</v>
      </c>
    </row>
    <row r="58" spans="2:20" ht="15.75" thickBot="1">
      <c r="B58" s="238" t="s">
        <v>178</v>
      </c>
      <c r="C58" s="448"/>
      <c r="D58" s="449"/>
      <c r="E58" s="449"/>
      <c r="F58" s="450"/>
      <c r="G58" s="201">
        <f t="shared" si="37"/>
        <v>0</v>
      </c>
      <c r="H58" s="3"/>
      <c r="I58" s="238" t="s">
        <v>178</v>
      </c>
      <c r="J58" s="445">
        <v>1.1331002957784351</v>
      </c>
      <c r="K58" s="445">
        <v>1.1331002957784351</v>
      </c>
      <c r="L58" s="445">
        <v>1.1331002957784351</v>
      </c>
      <c r="M58" s="445">
        <v>1.13310029577844</v>
      </c>
      <c r="O58" s="238" t="s">
        <v>178</v>
      </c>
      <c r="P58" s="448"/>
      <c r="Q58" s="449"/>
      <c r="R58" s="449"/>
      <c r="S58" s="450"/>
      <c r="T58" s="201">
        <f t="shared" si="38"/>
        <v>0</v>
      </c>
    </row>
    <row r="59" spans="2:20">
      <c r="B59" s="228"/>
      <c r="C59" s="229"/>
      <c r="D59" s="229"/>
      <c r="E59" s="229"/>
      <c r="F59" s="229"/>
      <c r="G59" s="229"/>
      <c r="H59" s="3"/>
    </row>
    <row r="60" spans="2:20">
      <c r="B60" s="6" t="s">
        <v>357</v>
      </c>
      <c r="C60" s="3"/>
      <c r="D60" s="3"/>
      <c r="E60" s="3"/>
      <c r="F60" s="3"/>
      <c r="G60" s="3"/>
      <c r="H60" s="3"/>
    </row>
    <row r="61" spans="2:20">
      <c r="B61" s="3"/>
      <c r="C61" s="63">
        <v>2013</v>
      </c>
      <c r="D61" s="63">
        <v>2014</v>
      </c>
      <c r="E61" s="63" t="s">
        <v>353</v>
      </c>
      <c r="F61" s="3"/>
      <c r="G61" s="3"/>
      <c r="H61" s="3"/>
    </row>
    <row r="62" spans="2:20">
      <c r="B62" s="463" t="s">
        <v>173</v>
      </c>
      <c r="C62" s="63">
        <v>1957</v>
      </c>
      <c r="D62" s="63">
        <v>2129</v>
      </c>
      <c r="E62" s="464">
        <f>D62/C62</f>
        <v>1.0878896269800715</v>
      </c>
      <c r="F62" s="3"/>
      <c r="G62" s="3"/>
      <c r="H62" s="3"/>
    </row>
    <row r="63" spans="2:20">
      <c r="B63" s="463" t="s">
        <v>174</v>
      </c>
      <c r="C63" s="63">
        <v>4076</v>
      </c>
      <c r="D63" s="63">
        <v>4081</v>
      </c>
      <c r="E63" s="464">
        <f t="shared" ref="E63:E67" si="39">D63/C63</f>
        <v>1.0012266928361138</v>
      </c>
      <c r="F63" s="3"/>
      <c r="G63" s="3"/>
      <c r="H63" s="3"/>
    </row>
    <row r="64" spans="2:20">
      <c r="B64" s="463" t="s">
        <v>175</v>
      </c>
      <c r="C64" s="63">
        <v>12457</v>
      </c>
      <c r="D64" s="63">
        <f>13319+6817</f>
        <v>20136</v>
      </c>
      <c r="E64" s="464">
        <f t="shared" si="39"/>
        <v>1.6164405555109578</v>
      </c>
      <c r="F64" s="3"/>
      <c r="G64" s="3"/>
      <c r="H64" s="3"/>
    </row>
    <row r="65" spans="2:8">
      <c r="B65" s="463" t="s">
        <v>176</v>
      </c>
      <c r="C65" s="63">
        <v>59928</v>
      </c>
      <c r="D65" s="63">
        <v>61491</v>
      </c>
      <c r="E65" s="464">
        <f t="shared" si="39"/>
        <v>1.0260812975570686</v>
      </c>
      <c r="F65" s="3"/>
      <c r="G65" s="3"/>
      <c r="H65" s="3"/>
    </row>
    <row r="66" spans="2:8">
      <c r="B66" s="463" t="s">
        <v>177</v>
      </c>
      <c r="C66" s="63">
        <v>351278</v>
      </c>
      <c r="D66" s="63">
        <v>365044</v>
      </c>
      <c r="E66" s="464">
        <f t="shared" si="39"/>
        <v>1.0391883351647413</v>
      </c>
      <c r="F66" s="3"/>
      <c r="G66" s="3"/>
      <c r="H66" s="3"/>
    </row>
    <row r="67" spans="2:8">
      <c r="B67" s="463" t="s">
        <v>178</v>
      </c>
      <c r="C67" s="63">
        <v>3719</v>
      </c>
      <c r="D67" s="63">
        <f>3836+378</f>
        <v>4214</v>
      </c>
      <c r="E67" s="464">
        <f t="shared" si="39"/>
        <v>1.1331002957784351</v>
      </c>
      <c r="F67" s="3"/>
      <c r="G67" s="3"/>
      <c r="H67" s="3"/>
    </row>
  </sheetData>
  <mergeCells count="24"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7226e7c-1abe-4306-8039-ffe3b620ce66"/>
    <ds:schemaRef ds:uri="b9317516-fb96-4786-b592-56ea2e49ee51"/>
    <ds:schemaRef ds:uri="http://purl.org/dc/elements/1.1/"/>
    <ds:schemaRef ds:uri="http://schemas.microsoft.com/office/2006/metadata/properties"/>
    <ds:schemaRef ds:uri="f481ac27-dfc7-4634-a0ae-1eb35b24cd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Hist</vt:lpstr>
      <vt:lpstr>SUM_CDP</vt:lpstr>
      <vt:lpstr>BAU</vt:lpstr>
      <vt:lpstr>SUM_SEAP</vt:lpstr>
      <vt:lpstr>Rap_GCP</vt:lpstr>
      <vt:lpstr>Rap_EM</vt:lpstr>
      <vt:lpstr>SUM_PGN</vt:lpstr>
      <vt:lpstr>II. TRANS (2)</vt:lpstr>
      <vt:lpstr>pojazdy_przeliczenie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umiwwr02</cp:lastModifiedBy>
  <cp:lastPrinted>2019-04-05T11:21:37Z</cp:lastPrinted>
  <dcterms:created xsi:type="dcterms:W3CDTF">2015-02-24T20:30:38Z</dcterms:created>
  <dcterms:modified xsi:type="dcterms:W3CDTF">2019-04-12T11:22:59Z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