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Glossary" sheetId="2" r:id="rId6"/>
    <sheet state="visible" name="Input Assumptions" sheetId="3" r:id="rId7"/>
    <sheet state="visible" name="Summary Financials" sheetId="4" r:id="rId8"/>
    <sheet state="visible" name="P&amp;L Statement" sheetId="5" r:id="rId9"/>
    <sheet state="visible" name="Balance Sheet" sheetId="6" r:id="rId10"/>
    <sheet state="visible" name="Cash Flow Statement" sheetId="7" r:id="rId11"/>
    <sheet state="visible" name="Returns on Invested Capital" sheetId="8" r:id="rId12"/>
    <sheet state="visible" name="Valuation" sheetId="9" r:id="rId13"/>
    <sheet state="visible" name="Model" sheetId="10" r:id="rId14"/>
    <sheet state="visible" name="Audit" sheetId="11" r:id="rId15"/>
    <sheet state="visible" name="Feedback &amp; Support" sheetId="12" r:id="rId16"/>
  </sheets>
  <definedNames>
    <definedName name="Debt_Amt3">'Input Assumptions'!$G$49</definedName>
    <definedName name="AUV_Start">'Input Assumptions'!$D$11</definedName>
    <definedName name="Inv_Days">'Input Assumptions'!$H$9</definedName>
    <definedName name="Debt_Rate1">'Input Assumptions'!$E$51</definedName>
    <definedName name="Equity_Cash">'Input Assumptions'!$E$48</definedName>
    <definedName name="Gross_Sales">'Input Assumptions'!$D$9</definedName>
    <definedName name="Pre_Tax_Profit_Target">'Input Assumptions'!$E$37:$I$37</definedName>
    <definedName name="CustAudit_Start">Audit!$F$13</definedName>
    <definedName name="BS_Check_II">'Balance Sheet'!$B$49</definedName>
    <definedName name="Growth_Rate">'Input Assumptions'!$E$21:$I$21</definedName>
    <definedName name="Operating_Expenses">'Input Assumptions'!$E$34:$I$34</definedName>
    <definedName name="Acc_Pay_Days_Mat">'Input Assumptions'!$H$8</definedName>
    <definedName name="Direct_Labor_Cost">'Input Assumptions'!$E$29:$I$29</definedName>
    <definedName name="Nav_Valuation">Model!$A$304</definedName>
    <definedName name="Nav_Debt">Model!$A$189</definedName>
    <definedName name="Debt_Term1">'Input Assumptions'!$E$50</definedName>
    <definedName name="Nav_ROI">Model!$A$282</definedName>
    <definedName name="Facilities">'Input Assumptions'!$E$30:$I$30</definedName>
    <definedName name="EBITDA_Multiple">'Input Assumptions'!$D$13</definedName>
    <definedName name="Marketing">'Input Assumptions'!$E$31:$I$31</definedName>
    <definedName name="Workings_BS">Model!$B$90</definedName>
    <definedName name="BS_Check">Model!$D$117</definedName>
    <definedName name="Fin_Year_End">'Input Assumptions'!$D$8</definedName>
    <definedName name="Audit_SumChk">Audit!$B$9</definedName>
    <definedName name="Distributions">'Input Assumptions'!$E$55:$I$55</definedName>
    <definedName name="Payroll_Tax">'Input Assumptions'!$E$33:$I$33</definedName>
    <definedName name="Audit_Start">Audit!$B$13</definedName>
    <definedName name="Nav_BS">Model!$A$90</definedName>
    <definedName name="Management_Salaries">'Input Assumptions'!$E$32:$I$32</definedName>
    <definedName name="LTGR">Model!$E$306</definedName>
    <definedName name="Company_Name">'Input Assumptions'!$E$4</definedName>
    <definedName name="Start_Date">'Input Assumptions'!$D$7</definedName>
    <definedName name="Nav_CF">Model!$A$119</definedName>
    <definedName name="Other_Inv_WorkCapital">'Input Assumptions'!$E$44:$I$44</definedName>
    <definedName name="Debt_Amt1">'Input Assumptions'!$E$49</definedName>
    <definedName name="Breakeven">Model!$C$250</definedName>
    <definedName name="Royalty_Fee">'Input Assumptions'!$E$24:$I$24</definedName>
    <definedName name="Nav_CT">Model!$A$146</definedName>
    <definedName name="Nav_Breakeven">Model!$A$245</definedName>
    <definedName name="Fixed_Assets">'Input Assumptions'!$E$42:$I$42</definedName>
    <definedName name="CustAudit_SumChk">Audit!$F$9</definedName>
    <definedName name="WACC">Model!$E$305</definedName>
    <definedName name="Shareholder_Salary_Adj">'Input Assumptions'!$E$38:$I$38</definedName>
    <definedName name="AUV_Reached">'Input Assumptions'!$D$10</definedName>
    <definedName name="Workings_PL">Model!$B$15</definedName>
    <definedName name="Acc_Rec_Days">'Input Assumptions'!$H$7</definedName>
    <definedName name="Debt_Term3">'Input Assumptions'!$G$50</definedName>
    <definedName name="Debt_Rate2">'Input Assumptions'!$F$51</definedName>
    <definedName name="Depreciation_Rate">'Input Assumptions'!$H$10</definedName>
    <definedName name="Other_Inv_Spending">'Input Assumptions'!$E$43:$I$43</definedName>
    <definedName name="Marketing_Fee">'Input Assumptions'!$E$25:$I$25</definedName>
    <definedName name="Corp_Tax_Pay_Lag">'Input Assumptions'!$H$11</definedName>
    <definedName name="Debt_Rate3">'Input Assumptions'!$G$51</definedName>
    <definedName name="Debt_Term2">'Input Assumptions'!$F$50</definedName>
    <definedName name="CT_Sum">Model!$B$85</definedName>
    <definedName name="Nav_PL">Model!$A$15</definedName>
    <definedName name="Materials_COGs">'Input Assumptions'!$E$28:$I$28</definedName>
    <definedName name="Corp_Tax">'Input Assumptions'!$D$12</definedName>
    <definedName name="Nav_WC">Model!$A$161</definedName>
    <definedName name="Debt_Amt2">'Input Assumptions'!$F$49</definedName>
    <definedName name="Nav_Capex">Model!$A$212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tc={1af8e8e4-f6d2-44b8-a6ea-abf80e85ddda}</author>
    <author>tc={3837d6cb-ceb5-43d5-ae6d-ce958d083c59}</author>
    <author>tc={3a88ef3d-272d-4759-a130-e3bebdc98894}</author>
    <author>tc={3cb5fefe-0e13-42e7-b648-b735b14b024b}</author>
    <author>tc={3e5bc8d3-ed36-4796-8130-4394bc4990da}</author>
    <author>tc={5a0a3bab-a23d-4176-b136-8117948e0bee}</author>
    <author>tc={7ef288cc-27d6-4f29-8aee-819965fd973b}</author>
    <author>tc={8456a021-e8af-4922-bf12-f9d4aa0d6ad9}</author>
    <author>tc={855e516b-8881-4f61-8c02-a970f9800ea5}</author>
    <author>tc={94bb1512-f056-43e4-8c48-d53faf77769d}</author>
    <author>tc={97f9c1cc-e53e-4437-a4cd-4bc4e9eade00}</author>
    <author>tc={9d984d19-9558-4927-a7f8-2c57d58c5cf8}</author>
    <author>tc={a1c44910-6d25-48b2-ad08-2df12e9b5821}</author>
    <author>tc={be4fad97-90b5-4e2a-8074-de34e3b7244d}</author>
    <author>tc={d1237cac-a8a2-4f49-bb65-674dfe03f50e}</author>
    <author>tc={d292b171-e5a0-4a5f-94d0-903a0a68d2d6}</author>
    <author>tc={e61f77c4-7df3-44c0-9975-b0fb6f05bfab}</author>
    <author>tc={f46ba505-2fbc-4769-9fcf-e40989a07a43}</author>
  </authors>
  <commentList>
    <comment authorId="0"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0"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t>
      </text>
    </comment>
    <comment authorId="0"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Your target total marketing spend (including the marketing fee / add fund) as a percentage of gross sales should be 6-10%.
</t>
      </text>
    </comment>
    <comment authorId="0"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0"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t>
      </text>
    </comment>
    <comment authorId="0"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0"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t>
      </text>
    </comment>
    <comment authorId="0"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t>
      </text>
    </comment>
    <comment authorId="0"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t>
      </text>
    </comment>
    <comment authorId="0"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0"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t>
      </text>
    </comment>
    <comment authorId="1" xr:uid="{1af8e8e4-f6d2-44b8-a6ea-abf80e85ddda}"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2" xr:uid="{3837d6cb-ceb5-43d5-ae6d-ce958d083c59}" ref="D55">
      <text>
        <t xml:space="preserve">[Threaded comment]
 Your version of Excel allows you to read this threaded comment; however, any edits to it will get removed if the file is opened in a newer version of Excel. Learn more: https://go.microsoft.com/fwlink/?linkid=870924
Comment:
	The impact of distributions is most visible on the Returns on Invested Capital sheet
</t>
      </text>
    </comment>
    <comment authorId="3" xr:uid="{3a88ef3d-272d-4759-a130-e3bebdc98894}"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Your target total marketing spend (including the marketing fee / add fund) as a percentage of gross sales should be 6-10%.
</t>
      </text>
    </comment>
    <comment authorId="4" xr:uid="{3cb5fefe-0e13-42e7-b648-b735b14b024b}"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5" xr:uid="{3e5bc8d3-ed36-4796-8130-4394bc4990da}"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6" xr:uid="{5a0a3bab-a23d-4176-b136-8117948e0bee}"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
</t>
      </text>
    </comment>
    <comment authorId="7" xr:uid="{7ef288cc-27d6-4f29-8aee-819965fd973b}"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
</t>
      </text>
    </comment>
    <comment authorId="8" xr:uid="{8456a021-e8af-4922-bf12-f9d4aa0d6ad9}"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
</t>
      </text>
    </comment>
    <comment authorId="9" xr:uid="{855e516b-8881-4f61-8c02-a970f9800ea5}"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
</t>
      </text>
    </comment>
    <comment authorId="10" xr:uid="{94bb1512-f056-43e4-8c48-d53faf77769d}" ref="D41">
      <text>
        <t xml:space="preserve">[Threaded comment]
 Your version of Excel allows you to read this threaded comment; however, any edits to it will get removed if the file is opened in a newer version of Excel. Learn more: https://go.microsoft.com/fwlink/?linkid=870924
Comment:
	Total investment required for the franchise unit. This should be equal to the sum of capex investments, non-capex investments, and working capital.
</t>
      </text>
    </comment>
    <comment authorId="11" xr:uid="{97f9c1cc-e53e-4437-a4cd-4bc4e9eade00}"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12" xr:uid="{9d984d19-9558-4927-a7f8-2c57d58c5cf8}"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13" xr:uid="{a1c44910-6d25-48b2-ad08-2df12e9b5821}"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14" xr:uid="{be4fad97-90b5-4e2a-8074-de34e3b7244d}"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15" xr:uid="{d1237cac-a8a2-4f49-bb65-674dfe03f50e}" ref="B10">
      <text>
        <t xml:space="preserve">[Threaded comment]
 Your version of Excel allows you to read this threaded comment; however, any edits to it will get removed if the file is opened in a newer version of Excel. Learn more: https://go.microsoft.com/fwlink/?linkid=870924
Comment:
	The number of months it will take to reach "Average Unit Volume" (AUV), otherwise known as average Gross Sales or Revenue, from the start of business operations date.
</t>
      </text>
    </comment>
    <comment authorId="16" xr:uid="{d292b171-e5a0-4a5f-94d0-903a0a68d2d6}"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
</t>
      </text>
    </comment>
    <comment authorId="17" xr:uid="{e61f77c4-7df3-44c0-9975-b0fb6f05bfab}" ref="B11">
      <text>
        <t xml:space="preserve">[Threaded comment]
 Your version of Excel allows you to read this threaded comment; however, any edits to it will get removed if the file is opened in a newer version of Excel. Learn more: https://go.microsoft.com/fwlink/?linkid=870924
Comment:
	Input the estimated % of monthly AUV that the business is expected to achieve in the first month. From this base, the projected monthly gross sales can be calculated.
</t>
      </text>
    </comment>
    <comment authorId="18" xr:uid="{f46ba505-2fbc-4769-9fcf-e40989a07a43}"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tc={d02ad146-fad7-4e79-9136-9c03242085e4}</author>
  </authors>
  <commentList>
    <comment authorId="0"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 authorId="1" xr:uid="{d02ad146-fad7-4e79-9136-9c03242085e4}"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tc={0915305d-1820-4486-a3cd-f393fcc17685}</author>
    <author>tc={0b67f23d-5cc0-4d83-bd9b-8d2612cf4bf1}</author>
    <author>tc={5b003d4f-8226-4393-9fc4-40b16288cb6c}</author>
    <author>tc={ace2b7ad-e3d6-499d-9943-b762bf7f661a}</author>
    <author>tc={dc0be148-a5df-49f7-9564-716febfb570b}</author>
    <author>tc={de878475-e420-4de2-b757-fdf43bf98392}</author>
    <author>tc={e7148862-bdc4-4250-a8b1-84f072f349bd}</author>
    <author>tc={ea70472d-46ab-4193-950e-22aa0a144f59}</author>
  </authors>
  <commentList>
    <comment authorId="0"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t>
      </text>
    </comment>
    <comment authorId="0"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t>
      </text>
    </comment>
    <comment authorId="0"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0"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t>
      </text>
    </comment>
    <comment authorId="0"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t>
      </text>
    </comment>
    <comment authorId="0"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0"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1" xr:uid="{0915305d-1820-4486-a3cd-f393fcc17685}"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2" xr:uid="{0b67f23d-5cc0-4d83-bd9b-8d2612cf4bf1}"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 authorId="3" xr:uid="{5b003d4f-8226-4393-9fc4-40b16288cb6c}"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
</t>
      </text>
    </comment>
    <comment authorId="4" xr:uid="{ace2b7ad-e3d6-499d-9943-b762bf7f661a}"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
</t>
      </text>
    </comment>
    <comment authorId="5" xr:uid="{dc0be148-a5df-49f7-9564-716febfb570b}"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
</t>
      </text>
    </comment>
    <comment authorId="6" xr:uid="{de878475-e420-4de2-b757-fdf43bf98392}"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
</t>
      </text>
    </comment>
    <comment authorId="7" xr:uid="{e7148862-bdc4-4250-a8b1-84f072f349bd}"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 authorId="8" xr:uid="{ea70472d-46ab-4193-950e-22aa0a144f59}"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tc={0effae57-c0e0-4a79-abf5-ee2c77c36cfe}</author>
    <author>tc={670a21f4-f093-4828-b459-236d4136d991}</author>
    <author>tc={c5b95b72-98b0-4725-862c-2ac5a1cb0db0}</author>
  </authors>
  <commentList>
    <comment authorId="0"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t>
      </text>
    </comment>
    <comment authorId="1" xr:uid="{0effae57-c0e0-4a79-abf5-ee2c77c36cfe}" ref="B10">
      <text>
        <t xml:space="preserve">[Threaded comment]
 Your version of Excel allows you to read this threaded comment; however, any edits to it will get removed if the file is opened in a newer version of Excel. Learn more: https://go.microsoft.com/fwlink/?linkid=870924
Comment:
	Retained Earnings is after tax and after distributions
</t>
      </text>
    </comment>
    <comment authorId="2" xr:uid="{670a21f4-f093-4828-b459-236d4136d991}"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
</t>
      </text>
    </comment>
    <comment authorId="3" xr:uid="{c5b95b72-98b0-4725-862c-2ac5a1cb0db0}" ref="B9">
      <text>
        <t xml:space="preserve">[Threaded comment]
 Your version of Excel allows you to read this threaded comment; however, any edits to it will get removed if the file is opened in a newer version of Excel. Learn more: https://go.microsoft.com/fwlink/?linkid=870924
Comment:
	From the Input Assumptions sheet. This is the amount you were "underpaid."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tc={994cd096-1533-437d-8f4f-181c0b4096db}</author>
    <author>tc={dee191e4-a12a-4fc1-be9f-c1e6e6603311}</author>
  </authors>
  <commentList>
    <comment authorId="0"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t>
      </text>
    </comment>
    <comment authorId="0"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t>
      </text>
    </comment>
    <comment authorId="1" xr:uid="{994cd096-1533-437d-8f4f-181c0b4096db}"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
</t>
      </text>
    </comment>
    <comment authorId="2" xr:uid="{dee191e4-a12a-4fc1-be9f-c1e6e6603311}"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tc={5655f1ee-c0cc-43ee-a95c-2e83fd1d43ef}</author>
    <author>tc={998ec18a-6b7f-41d7-8df3-ea3373c05f50}</author>
  </authors>
  <commentList>
    <comment authorId="0"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0"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1" xr:uid="{5655f1ee-c0cc-43ee-a95c-2e83fd1d43ef}"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 authorId="2" xr:uid="{998ec18a-6b7f-41d7-8df3-ea3373c05f50}"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List>
</comments>
</file>

<file path=xl/sharedStrings.xml><?xml version="1.0" encoding="utf-8"?>
<sst xmlns="http://schemas.openxmlformats.org/spreadsheetml/2006/main" count="590" uniqueCount="414">
  <si>
    <t>&lt;&lt;&lt;&lt;Click here to watch our introduction video&gt;&gt;&gt;&gt;</t>
  </si>
  <si>
    <t>Key Terms and Definitions</t>
  </si>
  <si>
    <t>Term</t>
  </si>
  <si>
    <t>Definition</t>
  </si>
  <si>
    <t>Benchmark</t>
  </si>
  <si>
    <t>Payback period</t>
  </si>
  <si>
    <t>The payback period is a financial metric used to evaluate the time it takes for an investment to generate an amount of money equal to the original investment cost. In other words, it calculates how long it takes for an investor to recoup the initial outlay.</t>
  </si>
  <si>
    <t>4-7 years</t>
  </si>
  <si>
    <t>EBITDA</t>
  </si>
  <si>
    <t>A way to look at a business's earnings before considering interest, taxes, depreciation, and amortization. It's like a scorecard that tells you how much money the core operations of a small business made, without getting into the details of certain financial expenses and accounting practices. It helps provide a clearer picture of the business's operational performance.</t>
  </si>
  <si>
    <t>10-20% of gross revenues</t>
  </si>
  <si>
    <t>Adjusted (Adj) Net Profit Before Tax</t>
  </si>
  <si>
    <t xml:space="preserve">Net Profit Before Tax is the earnings after depreciation, amortization, and interest payments are deducted. The Net Profit Before Tax is 'adjusted' to account for cases where the owner decides to perform a role in the business for which they receive no salary or under salary. By adjusting the Net Profit Before Tax, you can better understand the 'true' performance of the business. </t>
  </si>
  <si>
    <t>10%-15% of gross revenues</t>
  </si>
  <si>
    <t>Shareholder salary adjustment (+=underpayed)</t>
  </si>
  <si>
    <t>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If the adjustment is positive, that means that the owner/operator was underpaid.</t>
  </si>
  <si>
    <t>Specific to each investor's individual case</t>
  </si>
  <si>
    <t>EBITDA Multiple</t>
  </si>
  <si>
    <t>A number that tells you how much people are willing to pay for a business compared to its EBITDA. This multiple can give a general idea of how valuable the market thinks a business is relative to its earnings. Think of it like a price tag: if the multiple is higher, the market generally sees the business as more valuable for each dollar it earns.</t>
  </si>
  <si>
    <t>4x-7x depending on the franchise</t>
  </si>
  <si>
    <t>Average Unit Volume (AUV)</t>
  </si>
  <si>
    <t xml:space="preserve"> In the franchise industry, "average unit volume" (AUV) refers to the average sales generated by a single franchise unit over a specified period, usually a year. It provides a measure of the financial performance and potential profitability of individual franchise units.</t>
  </si>
  <si>
    <t>See Input Assumptions sheet</t>
  </si>
  <si>
    <t>Operating Expenses - Direct Labor Cost</t>
  </si>
  <si>
    <t>Total "gross wages" paid to anyone who spends more than 50% of their time working on revenue producing activities. We do not recommend adding payroll taxes and benefits to this number since it clouds the simple decision making that can come from the Direct LER (labor efficiency ratio).</t>
  </si>
  <si>
    <t>Generally 25-30% of Gross Sales</t>
  </si>
  <si>
    <t>Operating Expenses - Facilities</t>
  </si>
  <si>
    <t>Total costs related to rent, utilities, telecommunications, IT costs, and vehicle fleet in the business.</t>
  </si>
  <si>
    <t>Individual franchise unit specific</t>
  </si>
  <si>
    <t>Equity - Cash</t>
  </si>
  <si>
    <t>The outside equity you invest into the business</t>
  </si>
  <si>
    <t>Assuming financing, typically 25% of total franchise investment cost.</t>
  </si>
  <si>
    <t>Core Capital</t>
  </si>
  <si>
    <t>Monthly operating expenses and labor expenses in cash and nothing drawn on a line of credit.</t>
  </si>
  <si>
    <t xml:space="preserve">Estimated Distributions </t>
  </si>
  <si>
    <t>Amounts of money taken out of the business by the owners or partners. After the business earns money and pays its bills, the leftover profits can either be kept in the business or distributed to the owners.</t>
  </si>
  <si>
    <t>Depends on post-tax profitability</t>
  </si>
  <si>
    <t>Returns on Invested Capital (ROIC)</t>
  </si>
  <si>
    <t>The gain or loss made on an investment over a certain period of time, expressed as a percentage of the investment's initial cost. Business owners should earn a reasonable return on the capital they have invested in their business. 
The key is ensuring that the business generates a return above a certain threshold (often compared to what could be earned in alternative investments) to justify the risk of business ownership. If the business doesn't achieve this, the owner may not be getting a sufficient return for the risks and efforts associated with running the business.</t>
  </si>
  <si>
    <t>Assuming adjusted profitability of 10%+, the target is a ROIC of 40% or higher.</t>
  </si>
  <si>
    <t>Breakeven</t>
  </si>
  <si>
    <t>The point at which costs and income are equal. This means there's no net loss or gain, and you've essentially "broken even." In the context of a franchise, it's the point at which the money made from selling products or services covers the costs of producing or providing it. Anything earned beyond this point would be considered profit.</t>
  </si>
  <si>
    <t>N/A</t>
  </si>
  <si>
    <t>Number of Months to Breakeven</t>
  </si>
  <si>
    <t>The number of months from the time the business is open and operating (able to generate revenue) to the time that breakeven is reached.</t>
  </si>
  <si>
    <t>6-18 months</t>
  </si>
  <si>
    <t>Cash Flow</t>
  </si>
  <si>
    <t xml:space="preserve">Refers to the money coming into and going out of the business. </t>
  </si>
  <si>
    <t>Assumptions Input</t>
  </si>
  <si>
    <t>Company Name:</t>
  </si>
  <si>
    <t>ABC Company</t>
  </si>
  <si>
    <t>Explanation</t>
  </si>
  <si>
    <t>Click to Navigate</t>
  </si>
  <si>
    <t>Start of Business Operations:</t>
  </si>
  <si>
    <t>Accounts Receivable Days:</t>
  </si>
  <si>
    <t>Summary Financials</t>
  </si>
  <si>
    <t>Financial Year End:</t>
  </si>
  <si>
    <t>Accounts Payable Days - Materials:</t>
  </si>
  <si>
    <t>P&amp;L Statement</t>
  </si>
  <si>
    <t>Gross Sales/Average Unit Volume (AUV):</t>
  </si>
  <si>
    <t>Inventory Days:</t>
  </si>
  <si>
    <t>Balance Sheet</t>
  </si>
  <si>
    <t>Time to Reach AUV (months):</t>
  </si>
  <si>
    <t>Fixed Assets Depreciation Rate:</t>
  </si>
  <si>
    <t>Cash Flow Statement</t>
  </si>
  <si>
    <t>Starting Month AUV %</t>
  </si>
  <si>
    <t>Tax Payment Delay (in months):</t>
  </si>
  <si>
    <t>Returns on Invested Capital</t>
  </si>
  <si>
    <t>Corporation Tax:</t>
  </si>
  <si>
    <t>Valuation</t>
  </si>
  <si>
    <t>Model</t>
  </si>
  <si>
    <t>Year 1</t>
  </si>
  <si>
    <t>Year 2</t>
  </si>
  <si>
    <t>Year 3</t>
  </si>
  <si>
    <t>Year 4</t>
  </si>
  <si>
    <t>Year 5</t>
  </si>
  <si>
    <t>Revenue</t>
  </si>
  <si>
    <t>Annual Growth Rate (% of Revenue)</t>
  </si>
  <si>
    <t>Franchise fees</t>
  </si>
  <si>
    <t>Royalty Fee (% of Revenue)</t>
  </si>
  <si>
    <t>Marketing Fee /Ad Fund (% of Revenue)</t>
  </si>
  <si>
    <t>Operating Expenses</t>
  </si>
  <si>
    <t>Materials COGs (% of Revenue)</t>
  </si>
  <si>
    <t>Direct Labor Cost (% of Revenue)</t>
  </si>
  <si>
    <t>Facilities ($)</t>
  </si>
  <si>
    <t>Marketing (% of Revenue)</t>
  </si>
  <si>
    <t>Management &amp; Admin Salaries ($)</t>
  </si>
  <si>
    <t>Payroll Taxes &amp; Benefits (% of Direct Labor Cost and Management &amp; Admin Salaries)</t>
  </si>
  <si>
    <t>Other Operating Expenses (% of Revenue)</t>
  </si>
  <si>
    <t>P&amp;L Calculations</t>
  </si>
  <si>
    <t>Target Pre-tax Profit (% of Revenue)</t>
  </si>
  <si>
    <t>Total Investment Spending</t>
  </si>
  <si>
    <t>Total investment required</t>
  </si>
  <si>
    <t>CapEx investments</t>
  </si>
  <si>
    <t>Non-CapEx investments</t>
  </si>
  <si>
    <t>Working Capital / Additional Funds</t>
  </si>
  <si>
    <t>Check - total investment required</t>
  </si>
  <si>
    <t>Financing</t>
  </si>
  <si>
    <t xml:space="preserve">Equity / Cash Injection </t>
  </si>
  <si>
    <t>Debt</t>
  </si>
  <si>
    <t>Debt Term (Months)</t>
  </si>
  <si>
    <t>Debt Interest Rate</t>
  </si>
  <si>
    <t>Check - additional financing above total investment required</t>
  </si>
  <si>
    <t>Distributions</t>
  </si>
  <si>
    <t>Estimated Distributions from the Company</t>
  </si>
  <si>
    <t>Year</t>
  </si>
  <si>
    <t>Ramp up to AUV % then Average Growth Rate</t>
  </si>
  <si>
    <t>Cost of Sales</t>
  </si>
  <si>
    <t>COGS (as % of revenue)</t>
  </si>
  <si>
    <t>Gross Profit</t>
  </si>
  <si>
    <t>Gross Profit %</t>
  </si>
  <si>
    <t>Direct Labor</t>
  </si>
  <si>
    <t>Direct Labor (as % of revenue)</t>
  </si>
  <si>
    <t>Contribution Margin (as % of revenue)</t>
  </si>
  <si>
    <t>Total Operating Expenses</t>
  </si>
  <si>
    <t>Total Operating Expenses (as % of revenue)</t>
  </si>
  <si>
    <t>EBITDA (as % of revenue)</t>
  </si>
  <si>
    <t>Adj. Net Profit Before Tax</t>
  </si>
  <si>
    <t>Adj. Net PBT (as % of revenue)</t>
  </si>
  <si>
    <t>Labor Efficiency</t>
  </si>
  <si>
    <t xml:space="preserve"> </t>
  </si>
  <si>
    <t>Direct LER</t>
  </si>
  <si>
    <t>Admin LER - Forecasted</t>
  </si>
  <si>
    <t>Admin LER - Benchmark</t>
  </si>
  <si>
    <t>Difference</t>
  </si>
  <si>
    <t>Adj Total LER - Actual</t>
  </si>
  <si>
    <t>Adj Total LER - Benchmark</t>
  </si>
  <si>
    <t>Salary Cap</t>
  </si>
  <si>
    <t>(Over)/Under cap Using Adj Total Wages</t>
  </si>
  <si>
    <t>Assets</t>
  </si>
  <si>
    <t>(of which Cash)</t>
  </si>
  <si>
    <t>Liabilities</t>
  </si>
  <si>
    <t>Total Net Assets</t>
  </si>
  <si>
    <t>Total Liabilities and Equity</t>
  </si>
  <si>
    <t>(of which Retained Earnings)</t>
  </si>
  <si>
    <t>Closing Cash Balance</t>
  </si>
  <si>
    <t>Working Capital</t>
  </si>
  <si>
    <t>Accounts Receivables Closing</t>
  </si>
  <si>
    <t>Accounts Payables Closing</t>
  </si>
  <si>
    <t>Inventory Closing</t>
  </si>
  <si>
    <t>Closing Balance</t>
  </si>
  <si>
    <t>Interest Expense</t>
  </si>
  <si>
    <t>Capital Expenditure</t>
  </si>
  <si>
    <t>Total Expenditure</t>
  </si>
  <si>
    <t>Total Depreciation</t>
  </si>
  <si>
    <t>Total Net Book Value</t>
  </si>
  <si>
    <t>Breakeven Analysis</t>
  </si>
  <si>
    <t>Breakeven date:</t>
  </si>
  <si>
    <t>No. Months to Breakeven:</t>
  </si>
  <si>
    <t>Total Expenses</t>
  </si>
  <si>
    <t>CapEx</t>
  </si>
  <si>
    <t>Total Burn</t>
  </si>
  <si>
    <t>Payback Period Analysis</t>
  </si>
  <si>
    <t>Profit &amp; Loss</t>
  </si>
  <si>
    <t>Revenue Growth</t>
  </si>
  <si>
    <t>Cost of Goods Sold:</t>
  </si>
  <si>
    <t>Materials</t>
  </si>
  <si>
    <t>Royalties</t>
  </si>
  <si>
    <t>Ad Fund / Brand Fund</t>
  </si>
  <si>
    <t>Total Cost of Goods Sold</t>
  </si>
  <si>
    <t>Gross Profit as % of Revenue</t>
  </si>
  <si>
    <t>Contribution Margin</t>
  </si>
  <si>
    <t>As % of GP</t>
  </si>
  <si>
    <t>Operating Expenses:</t>
  </si>
  <si>
    <t>Facilities</t>
  </si>
  <si>
    <t>Marketing</t>
  </si>
  <si>
    <t>Labor - (Management and Admin)</t>
  </si>
  <si>
    <t>Payroll Taxes &amp; Benefits</t>
  </si>
  <si>
    <t>Other Operating Expenses</t>
  </si>
  <si>
    <t>Total operating expenses</t>
  </si>
  <si>
    <t>As % of Revenue</t>
  </si>
  <si>
    <t>Management LER to CM</t>
  </si>
  <si>
    <t>Net operating Income</t>
  </si>
  <si>
    <t>Depreciation</t>
  </si>
  <si>
    <t>Other Income (Expense)</t>
  </si>
  <si>
    <t>Pre-tax Net Income</t>
  </si>
  <si>
    <t>as a % of Revenue</t>
  </si>
  <si>
    <t>as a % of Gross Profit</t>
  </si>
  <si>
    <t>Target Pre-tax Profit %</t>
  </si>
  <si>
    <t>Calculated Pre-tax Profit @15%</t>
  </si>
  <si>
    <t>Above (below) Target</t>
  </si>
  <si>
    <t>Adjusted Pre-tax profit %</t>
  </si>
  <si>
    <t>Non-Labor Gross Margin</t>
  </si>
  <si>
    <t>Total Wages</t>
  </si>
  <si>
    <t>Adjusted total wages</t>
  </si>
  <si>
    <t>Salary Cap @ 15%</t>
  </si>
  <si>
    <t>Labor efficiency (NLGM/Wages)</t>
  </si>
  <si>
    <t>Adjusted Labor efficiency (NLGM/Wages)</t>
  </si>
  <si>
    <t>Discretionary marketing as % of Revenue</t>
  </si>
  <si>
    <t>PR Taxes &amp; Benefits as % All wages</t>
  </si>
  <si>
    <t>Other Operating Expenses as % of Revenue</t>
  </si>
  <si>
    <t>ASSETS</t>
  </si>
  <si>
    <t>Current Assets:</t>
  </si>
  <si>
    <t xml:space="preserve">   Cash</t>
  </si>
  <si>
    <t xml:space="preserve">   Accounts receivable</t>
  </si>
  <si>
    <t xml:space="preserve">   Other Current Assets</t>
  </si>
  <si>
    <t xml:space="preserve">        Total current assets</t>
  </si>
  <si>
    <t>Fixed Assets:</t>
  </si>
  <si>
    <t xml:space="preserve">   Equipment</t>
  </si>
  <si>
    <t xml:space="preserve">   Accumulated Depreciation</t>
  </si>
  <si>
    <t xml:space="preserve">         Net book value of fixed assets</t>
  </si>
  <si>
    <t>Other Assets</t>
  </si>
  <si>
    <t xml:space="preserve">         Total Other Assets</t>
  </si>
  <si>
    <t>Total Assets</t>
  </si>
  <si>
    <t>LIABILITIES AND SHAREHOLDERS' EQUITY</t>
  </si>
  <si>
    <t>Current liabilities:</t>
  </si>
  <si>
    <t>Accounts Payable</t>
  </si>
  <si>
    <t>Tax Payable</t>
  </si>
  <si>
    <t>Credit Card Payable</t>
  </si>
  <si>
    <t>Line of Credit</t>
  </si>
  <si>
    <t xml:space="preserve">        Total current liabilities</t>
  </si>
  <si>
    <t>Long-term liabilities:</t>
  </si>
  <si>
    <t xml:space="preserve">   Notes Payable</t>
  </si>
  <si>
    <t xml:space="preserve">        Total long-term liabilities</t>
  </si>
  <si>
    <t>Total Liabilities</t>
  </si>
  <si>
    <t>Capital</t>
  </si>
  <si>
    <t xml:space="preserve">   Common stock</t>
  </si>
  <si>
    <t xml:space="preserve">   Retained earnings</t>
  </si>
  <si>
    <t xml:space="preserve">        Total Capital</t>
  </si>
  <si>
    <t>Total liabilities and shareholders' equity</t>
  </si>
  <si>
    <t>A/R DSO (Based on last 2 months sales)</t>
  </si>
  <si>
    <t>A/P as % of COGS for this month and next month</t>
  </si>
  <si>
    <t>Core Capital target -Level 1 (1 month opex)</t>
  </si>
  <si>
    <t>Core Capital target -Level 2 (2 month opex)</t>
  </si>
  <si>
    <t>Months of Core Capital</t>
  </si>
  <si>
    <t>Excess Core Capital (targeting 2 month of opex)</t>
  </si>
  <si>
    <t>Cash Flows from Operations</t>
  </si>
  <si>
    <t>Net Income</t>
  </si>
  <si>
    <t>Add Back:</t>
  </si>
  <si>
    <t xml:space="preserve">  Depreciation</t>
  </si>
  <si>
    <t>Changes in:</t>
  </si>
  <si>
    <t xml:space="preserve">  Accounts receivable</t>
  </si>
  <si>
    <t xml:space="preserve">  Other Current Assets</t>
  </si>
  <si>
    <t xml:space="preserve">  Other Assets</t>
  </si>
  <si>
    <t xml:space="preserve">  Accounts Payable</t>
  </si>
  <si>
    <t xml:space="preserve">  Tax Payable</t>
  </si>
  <si>
    <t>Net cash flows from operations</t>
  </si>
  <si>
    <t>Cash Flows from Investing</t>
  </si>
  <si>
    <t>Purchase of fixed assets</t>
  </si>
  <si>
    <t>Net cash flows before financing</t>
  </si>
  <si>
    <t>Cash flows from Financing</t>
  </si>
  <si>
    <t>Notes payable</t>
  </si>
  <si>
    <t>Line of credit</t>
  </si>
  <si>
    <t>Interest expense</t>
  </si>
  <si>
    <t>Net cash flows from financing</t>
  </si>
  <si>
    <t>Net cash flows</t>
  </si>
  <si>
    <t>Beginning cash</t>
  </si>
  <si>
    <t>Ending cash</t>
  </si>
  <si>
    <t>Check</t>
  </si>
  <si>
    <t>LOC Balance</t>
  </si>
  <si>
    <t>Base Cash Balance</t>
  </si>
  <si>
    <t>Cash Available to Be Paid on Line</t>
  </si>
  <si>
    <t>Cash Needed to be Drawn on Line</t>
  </si>
  <si>
    <t>Calculation for Returns on Invested Capital</t>
  </si>
  <si>
    <t>Invested Capital</t>
  </si>
  <si>
    <t>Outside cash (equity injected)</t>
  </si>
  <si>
    <t>Total loans (debt injected)</t>
  </si>
  <si>
    <t>Total Cash Invested</t>
  </si>
  <si>
    <t>Total Sweat Equity</t>
  </si>
  <si>
    <t>Retained Earnings (less distributions)</t>
  </si>
  <si>
    <t>Total Invested Capital</t>
  </si>
  <si>
    <t>Pre-Tax Net Income</t>
  </si>
  <si>
    <t>Pre-Tax Net Income (includes expensing Sweat Equity)</t>
  </si>
  <si>
    <t>Tax Rate</t>
  </si>
  <si>
    <t>Taxes Due</t>
  </si>
  <si>
    <t>After Tax Net Income</t>
  </si>
  <si>
    <t>ROIC</t>
  </si>
  <si>
    <t>Average Total Core Capital per Month</t>
  </si>
  <si>
    <t>Excess Core Capital (assuming 2 month of opex target)</t>
  </si>
  <si>
    <t>Gross Sales</t>
  </si>
  <si>
    <t>Net Operating Income</t>
  </si>
  <si>
    <t>Adj Net Operating Income</t>
  </si>
  <si>
    <t>Adj Net Operating Income as % of Revenue</t>
  </si>
  <si>
    <r>
      <rPr>
        <rFont val="Calibri"/>
        <b/>
        <color theme="1"/>
        <sz val="11.0"/>
      </rPr>
      <t xml:space="preserve">Equity </t>
    </r>
    <r>
      <rPr>
        <rFont val="Calibri"/>
        <b val="0"/>
        <color theme="1"/>
        <sz val="11.0"/>
      </rPr>
      <t>(invested capital)</t>
    </r>
  </si>
  <si>
    <t>Estimated value</t>
  </si>
  <si>
    <t>Net after-tax proceeds from sale</t>
  </si>
  <si>
    <t>Replacement return required</t>
  </si>
  <si>
    <t>Business Annual ROIC</t>
  </si>
  <si>
    <t>Summary Year Then Month</t>
  </si>
  <si>
    <t>Until AUV Reached</t>
  </si>
  <si>
    <t>Growth Rate</t>
  </si>
  <si>
    <t>End of Month</t>
  </si>
  <si>
    <t>End of Financial Year</t>
  </si>
  <si>
    <t>Corporation Tax Payment Month</t>
  </si>
  <si>
    <t>Click Hyperlink to Navigate</t>
  </si>
  <si>
    <t>ROI</t>
  </si>
  <si>
    <t>Corporation Tax</t>
  </si>
  <si>
    <t>Capex</t>
  </si>
  <si>
    <t>Ramp-Up / Forecast</t>
  </si>
  <si>
    <t>Ramp up to AUV</t>
  </si>
  <si>
    <t>Ramp up to AUV / Growth Rate</t>
  </si>
  <si>
    <t>Average Annual Sales</t>
  </si>
  <si>
    <t xml:space="preserve">Revenue </t>
  </si>
  <si>
    <t>Average Growth Rate</t>
  </si>
  <si>
    <t>Royalties (as % of revenue)</t>
  </si>
  <si>
    <t>Ad Fund / Brand Fund (as % of revenue)</t>
  </si>
  <si>
    <t>Materials (as % of revenue)</t>
  </si>
  <si>
    <t>Payroll Taxes &amp; Benefits - %</t>
  </si>
  <si>
    <t>Labor - (Management and Admin) + Payroll Benefits</t>
  </si>
  <si>
    <t>Marketing (as % of revenue)</t>
  </si>
  <si>
    <t>Other Operating Expenses (as % of revenue)</t>
  </si>
  <si>
    <t>Other Investment Spending</t>
  </si>
  <si>
    <t>Total Other OPEX (inc. Man &amp; Admin Wages)</t>
  </si>
  <si>
    <t>Total Other OPEX (as % of revenue)</t>
  </si>
  <si>
    <t>Net Operating income</t>
  </si>
  <si>
    <t>Net Operating Income (as % of revenue)</t>
  </si>
  <si>
    <t>Depreciation &amp; Amortization</t>
  </si>
  <si>
    <t>Interest</t>
  </si>
  <si>
    <t>Net Profit Before Tax</t>
  </si>
  <si>
    <t>Net PBT(as % of revenue)</t>
  </si>
  <si>
    <t>Adj Net Profit Before Tax</t>
  </si>
  <si>
    <t>Corporation Tax (as % of profits)</t>
  </si>
  <si>
    <t>Net Profit After Tax</t>
  </si>
  <si>
    <t>Net PAT %</t>
  </si>
  <si>
    <t>Cash</t>
  </si>
  <si>
    <t>Receivables</t>
  </si>
  <si>
    <t>Inventory</t>
  </si>
  <si>
    <t>Current Assets</t>
  </si>
  <si>
    <t>Property and Equipment</t>
  </si>
  <si>
    <t>Non Current Assets</t>
  </si>
  <si>
    <t>Current Liabilities</t>
  </si>
  <si>
    <t>Long-Term Liabilities</t>
  </si>
  <si>
    <t>Total Long-Term Liabilities</t>
  </si>
  <si>
    <t>Equity</t>
  </si>
  <si>
    <t>Retained Earnings</t>
  </si>
  <si>
    <t>Opening Cash Balance</t>
  </si>
  <si>
    <t>Net income</t>
  </si>
  <si>
    <t>Adjustments to Net Income</t>
  </si>
  <si>
    <t>Depreciation and Amortization</t>
  </si>
  <si>
    <t>Changes in Assets and Liabilities</t>
  </si>
  <si>
    <t>Accounts Receivable</t>
  </si>
  <si>
    <t>Inventories</t>
  </si>
  <si>
    <t>Operating Cash Assets</t>
  </si>
  <si>
    <t>Equipment / Capital Expenditure</t>
  </si>
  <si>
    <t>Investment Cash</t>
  </si>
  <si>
    <t>Debt Drawdown</t>
  </si>
  <si>
    <t>Debt Repayment</t>
  </si>
  <si>
    <t>Equity issuance</t>
  </si>
  <si>
    <t>Increase / (Decrease) in  Cash</t>
  </si>
  <si>
    <t>Deferred Corporation Tax</t>
  </si>
  <si>
    <t>Losses Carry Forward Opening</t>
  </si>
  <si>
    <t>Current Losses</t>
  </si>
  <si>
    <t>Sub-Total</t>
  </si>
  <si>
    <t>Losses Used</t>
  </si>
  <si>
    <t>Losses Carry Forward Closing</t>
  </si>
  <si>
    <t>Deferred Tax</t>
  </si>
  <si>
    <t>Corporation Tax Payable</t>
  </si>
  <si>
    <t>Opening Corporation Tax Payable</t>
  </si>
  <si>
    <t>New Corporation Tax Liability</t>
  </si>
  <si>
    <t>Corporation Tax Payment</t>
  </si>
  <si>
    <t>Closing Corporation Tax Payable</t>
  </si>
  <si>
    <t>Account Receivables</t>
  </si>
  <si>
    <t>Revenues</t>
  </si>
  <si>
    <t>Accounts Receivables Days</t>
  </si>
  <si>
    <t>Account Payables - Materials</t>
  </si>
  <si>
    <t>Accounts Payables Days</t>
  </si>
  <si>
    <t>Inventory Days</t>
  </si>
  <si>
    <t>Opening Balance - Debt 1</t>
  </si>
  <si>
    <t>Drawdown</t>
  </si>
  <si>
    <t>Repayment</t>
  </si>
  <si>
    <t>Interest Expense - Debt 1</t>
  </si>
  <si>
    <t>Opening Balance - Debt 2</t>
  </si>
  <si>
    <t>Interest Expense - Debt 2</t>
  </si>
  <si>
    <t>Opening Balance - Debt 3</t>
  </si>
  <si>
    <t>Interest Expense - Debt 3</t>
  </si>
  <si>
    <t>Opening NBV</t>
  </si>
  <si>
    <t>Closing NBV</t>
  </si>
  <si>
    <t xml:space="preserve">The breakeven point refers to the operational month where the cumulative net operating cashflow is positive. </t>
  </si>
  <si>
    <t>Breakeven date</t>
  </si>
  <si>
    <t>No. Months to Breakeven</t>
  </si>
  <si>
    <t>Expenses (excl. CapEx)</t>
  </si>
  <si>
    <t>Operating Cash Flow</t>
  </si>
  <si>
    <t>Debt drawdown</t>
  </si>
  <si>
    <t>Debt repayment</t>
  </si>
  <si>
    <t>Burn until breakeven</t>
  </si>
  <si>
    <t>Burn excl. CapEx</t>
  </si>
  <si>
    <t>+ CapEx</t>
  </si>
  <si>
    <t>The breakeven point here refers to the Year where the project cumulative earnings recover CAPEX and sweat Equity</t>
  </si>
  <si>
    <t>Pre-Tax Net Income (with expensing Sweat Equity)</t>
  </si>
  <si>
    <t>CAPEX</t>
  </si>
  <si>
    <t>Cumulative Cash Generated (Spent) (incl with expensing Sweat Equity)</t>
  </si>
  <si>
    <t>Breakeven - Payback Year</t>
  </si>
  <si>
    <t>Return on Investment</t>
  </si>
  <si>
    <t>Calculation for Invested Capital</t>
  </si>
  <si>
    <t>Outside cash invested</t>
  </si>
  <si>
    <t>Sweat Equity</t>
  </si>
  <si>
    <t>Amount you were 'underpaid'</t>
  </si>
  <si>
    <t>Choose EBITDA Mulitple</t>
  </si>
  <si>
    <t>Adj Net Income</t>
  </si>
  <si>
    <t>Adj Net Income as % to Revenue</t>
  </si>
  <si>
    <r>
      <rPr>
        <rFont val="Calibri"/>
        <b/>
        <color theme="1"/>
        <sz val="11.0"/>
      </rPr>
      <t xml:space="preserve">Equity </t>
    </r>
    <r>
      <rPr>
        <rFont val="Calibri"/>
        <b val="0"/>
        <color theme="1"/>
        <sz val="11.0"/>
      </rPr>
      <t>(invested capital)</t>
    </r>
  </si>
  <si>
    <t>Audit Sheet</t>
  </si>
  <si>
    <t>Model Name</t>
  </si>
  <si>
    <t>Franchise Template</t>
  </si>
  <si>
    <t>Tech Support</t>
  </si>
  <si>
    <t>Model Version</t>
  </si>
  <si>
    <t>Contact Details</t>
  </si>
  <si>
    <t>support@vettedbiz.com</t>
  </si>
  <si>
    <t>Summary Sheet Error Checks</t>
  </si>
  <si>
    <t>Summary Custom Checks</t>
  </si>
  <si>
    <t>Sheets</t>
  </si>
  <si>
    <t>Sheet Error Checks</t>
  </si>
  <si>
    <t>Model Sheet Checks</t>
  </si>
  <si>
    <t>Click on Hyperlink to Navigate to Sheet</t>
  </si>
  <si>
    <t>Inputs</t>
  </si>
  <si>
    <t>Feedback &amp; Support</t>
  </si>
  <si>
    <t>Thank you for choosing our Financial Projections model to support your franchise analysis efforts! Your insights and experiences are vital to us, and we constantly strive to refine our tools to better serve your needs.</t>
  </si>
  <si>
    <t>Feedback:</t>
  </si>
  <si>
    <r>
      <rPr>
        <rFont val="Calibri"/>
        <color theme="1"/>
        <sz val="11.0"/>
      </rPr>
      <t xml:space="preserve">We value your opinions! Please share any feedback, suggestions, or experiences you've had with this model. Whether there's a feature you love, something you believe can be improved, or additional functionalities you'd like to see, we want to hear from you. Email </t>
    </r>
    <r>
      <rPr>
        <rFont val="Calibri"/>
        <b/>
        <color theme="1"/>
        <sz val="11.0"/>
      </rPr>
      <t>support@vettedbiz.com</t>
    </r>
    <r>
      <rPr>
        <rFont val="Calibri"/>
        <color theme="1"/>
        <sz val="11.0"/>
      </rPr>
      <t xml:space="preserve"> to provide your feedback.</t>
    </r>
  </si>
  <si>
    <t>Support:</t>
  </si>
  <si>
    <r>
      <rPr>
        <rFont val="Calibri"/>
        <color theme="1"/>
        <sz val="11.0"/>
      </rPr>
      <t xml:space="preserve">If you encounter any challenges or have questions about the model, our dedicated support team is here to help. Reach out to us at </t>
    </r>
    <r>
      <rPr>
        <rFont val="Calibri"/>
        <b/>
        <color theme="1"/>
        <sz val="11.0"/>
      </rPr>
      <t>support@vettedbiz.com</t>
    </r>
    <r>
      <rPr>
        <rFont val="Calibri"/>
        <color theme="1"/>
        <sz val="11.0"/>
      </rPr>
      <t xml:space="preserve"> or visit for https://www.vettedbiz.com/ FAQs and helpful resources.</t>
    </r>
  </si>
  <si>
    <t>Remember, your feedback helps us create a better tool for you and everyone else on the franchise journey. Thank you for being an essential part of our community!</t>
  </si>
  <si>
    <t>Warm regards,</t>
  </si>
  <si>
    <t>Vetted Biz Team</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</si>
</sst>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quot;$&quot;#,##0"/>
    <numFmt numFmtId="165" formatCode="0.0%"/>
    <numFmt numFmtId="166" formatCode="#,##0.0\x;[Red]\(#,##0.0\)\x;\-"/>
    <numFmt numFmtId="167" formatCode="_(&quot;$&quot;* #,##0_);_(&quot;$&quot;* \(#,##0\);_(&quot;$&quot;* &quot;-&quot;_);_(@_)"/>
    <numFmt numFmtId="168" formatCode="#,##0;[Red]\(##,#00;\-"/>
    <numFmt numFmtId="169" formatCode="0.0%;[Red]\(0.0%\);\-"/>
    <numFmt numFmtId="170" formatCode="#,##0;[Red]\(#,##0\);\-"/>
    <numFmt numFmtId="171" formatCode="0.0"/>
    <numFmt numFmtId="172" formatCode="0.0_);[Red]\(0.0\)"/>
    <numFmt numFmtId="173" formatCode="&quot;$&quot;#,##0_);[Red]\(&quot;$&quot;#,##0\)"/>
    <numFmt numFmtId="174" formatCode="_(* #,##0_);_(* \(#,##0\);_(* &quot;-&quot;??_);_(@_)"/>
    <numFmt numFmtId="175" formatCode="#,##0.0%_);[Red]\(#,##0.0%\)"/>
    <numFmt numFmtId="176" formatCode="_(* #,##0.00_);_(* \(#,##0.00\);_(* &quot;-&quot;??_);_(@_)"/>
    <numFmt numFmtId="177" formatCode="&quot;$&quot;#,##0;[Red]\(&quot;$&quot;#,##0\);\-"/>
    <numFmt numFmtId="178" formatCode="0.0%;[Red]\-0.0%;\-"/>
    <numFmt numFmtId="179" formatCode="_(* #,##0.0_);_(* \(#,##0.0\);_(* &quot;-&quot;??_);_(@_)"/>
    <numFmt numFmtId="180" formatCode="_(* #,##0.00_);[Red]_(* \(#,##0.00\);_(* &quot;-&quot;??_);_(@_)"/>
    <numFmt numFmtId="181" formatCode="#,##0.00;\(#,##0.00\);\-"/>
    <numFmt numFmtId="182" formatCode="#,##0;\(#,##0\);\-"/>
    <numFmt numFmtId="183" formatCode="#,##0.0\x;\(#,##0.0\)\x;\-"/>
  </numFmts>
  <fonts count="81">
    <font>
      <sz val="11.0"/>
      <color theme="1"/>
      <name val="Calibri"/>
      <scheme val="minor"/>
    </font>
    <font>
      <u/>
      <sz val="26.0"/>
      <color rgb="FF0000FF"/>
      <name val="Calibri"/>
    </font>
    <font>
      <b/>
      <sz val="11.0"/>
      <color theme="1"/>
      <name val="Calibri"/>
    </font>
    <font>
      <b/>
      <sz val="11.0"/>
      <color theme="0"/>
      <name val="Calibri"/>
    </font>
    <font>
      <sz val="11.0"/>
      <color theme="1"/>
      <name val="Calibri"/>
    </font>
    <font>
      <b/>
      <sz val="16.0"/>
      <color rgb="FF3C78D8"/>
      <name val="Arial"/>
    </font>
    <font>
      <b/>
      <sz val="16.0"/>
      <color theme="1"/>
      <name val="Arial"/>
    </font>
    <font/>
    <font>
      <u/>
      <sz val="11.0"/>
      <color rgb="FF0000FF"/>
      <name val="Calibri"/>
    </font>
    <font>
      <b/>
      <sz val="11.0"/>
      <color rgb="FF00B050"/>
      <name val="Calibri"/>
    </font>
    <font>
      <u/>
      <sz val="11.0"/>
      <color rgb="FF0000FF"/>
      <name val="Calibri"/>
    </font>
    <font>
      <b/>
      <u/>
      <sz val="9.0"/>
      <color theme="10"/>
      <name val="Calibri"/>
    </font>
    <font>
      <sz val="11.0"/>
      <color rgb="FF000000"/>
      <name val="Calibri"/>
    </font>
    <font>
      <sz val="11.0"/>
      <color theme="0"/>
      <name val="Calibri"/>
    </font>
    <font>
      <b/>
      <sz val="12.0"/>
      <color theme="1"/>
      <name val="Calibri"/>
    </font>
    <font>
      <u/>
      <sz val="11.0"/>
      <color rgb="FF0000FF"/>
      <name val="Calibri"/>
    </font>
    <font>
      <sz val="10.0"/>
      <color theme="1"/>
      <name val="Calibri"/>
    </font>
    <font>
      <b/>
      <sz val="10.0"/>
      <color theme="1"/>
      <name val="Calibri"/>
    </font>
    <font>
      <u/>
      <sz val="11.0"/>
      <color rgb="FF0000FF"/>
      <name val="Calibri"/>
    </font>
    <font>
      <u/>
      <sz val="11.0"/>
      <color rgb="FF0000FF"/>
      <name val="Calibri"/>
    </font>
    <font>
      <i/>
      <sz val="8.0"/>
      <color rgb="FFC00000"/>
      <name val="Calibri"/>
    </font>
    <font>
      <i/>
      <sz val="10.0"/>
      <color theme="1"/>
      <name val="Calibri"/>
    </font>
    <font>
      <i/>
      <sz val="11.0"/>
      <color theme="1"/>
      <name val="Calibri"/>
    </font>
    <font>
      <sz val="8.0"/>
      <color rgb="FF000000"/>
      <name val="Arial"/>
    </font>
    <font>
      <sz val="10.0"/>
      <color theme="1"/>
      <name val="Arial"/>
    </font>
    <font>
      <sz val="10.0"/>
      <color rgb="FF000000"/>
      <name val="Arial"/>
    </font>
    <font>
      <b/>
      <sz val="11.0"/>
      <color rgb="FF000000"/>
      <name val="Arial"/>
    </font>
    <font>
      <b/>
      <sz val="16.0"/>
      <color rgb="FFFFFFFF"/>
      <name val="Arial"/>
    </font>
    <font>
      <sz val="10.0"/>
      <color rgb="FFD9D9D9"/>
      <name val="Arial"/>
    </font>
    <font>
      <b/>
      <sz val="16.0"/>
      <color rgb="FF262626"/>
      <name val="Arial"/>
    </font>
    <font>
      <sz val="10.0"/>
      <color rgb="FF262626"/>
      <name val="Arial"/>
    </font>
    <font>
      <b/>
      <sz val="10.0"/>
      <color theme="1"/>
      <name val="Arial"/>
    </font>
    <font>
      <b/>
      <i/>
      <sz val="10.0"/>
      <color theme="1"/>
      <name val="Arial"/>
    </font>
    <font>
      <i/>
      <sz val="10.0"/>
      <color rgb="FFD9D9D9"/>
      <name val="Arial"/>
    </font>
    <font>
      <i/>
      <sz val="9.0"/>
      <color rgb="FF3F3F3F"/>
      <name val="Arial"/>
    </font>
    <font>
      <b/>
      <sz val="10.0"/>
      <color theme="0"/>
      <name val="Arial"/>
    </font>
    <font>
      <b/>
      <sz val="12.0"/>
      <color rgb="FFFFFFFF"/>
      <name val="Arial"/>
    </font>
    <font>
      <u/>
      <sz val="11.0"/>
      <color rgb="FF0000FF"/>
      <name val="Calibri"/>
    </font>
    <font>
      <color theme="1"/>
      <name val="Calibri"/>
      <scheme val="minor"/>
    </font>
    <font>
      <b/>
      <sz val="10.0"/>
      <color rgb="FF000000"/>
      <name val="Arial"/>
    </font>
    <font>
      <i/>
      <sz val="10.0"/>
      <color rgb="FF000000"/>
      <name val="Arial"/>
    </font>
    <font>
      <b/>
      <sz val="10.0"/>
      <color rgb="FF000000"/>
      <name val="Calibri"/>
    </font>
    <font>
      <b/>
      <sz val="10.0"/>
      <color theme="0"/>
      <name val="Calibri"/>
    </font>
    <font>
      <b/>
      <sz val="12.0"/>
      <color theme="1"/>
      <name val="Arial"/>
    </font>
    <font>
      <sz val="11.0"/>
      <color rgb="FFF2F2F2"/>
      <name val="Calibri"/>
    </font>
    <font>
      <sz val="10.0"/>
      <color theme="0"/>
      <name val="Arial"/>
    </font>
    <font>
      <b/>
      <sz val="12.0"/>
      <color rgb="FFF2F2F2"/>
      <name val="Arial"/>
    </font>
    <font>
      <i/>
      <sz val="10.0"/>
      <color theme="1"/>
      <name val="Arial"/>
    </font>
    <font>
      <u/>
      <sz val="10.0"/>
      <color theme="1"/>
      <name val="Arial"/>
    </font>
    <font>
      <u/>
      <sz val="10.0"/>
      <color theme="1"/>
      <name val="Arial"/>
    </font>
    <font>
      <sz val="12.0"/>
      <color theme="1"/>
      <name val="Calibri"/>
    </font>
    <font>
      <b/>
      <u/>
      <sz val="12.0"/>
      <color theme="1"/>
      <name val="Calibri"/>
    </font>
    <font>
      <b/>
      <sz val="12.0"/>
      <color rgb="FFF2F2F2"/>
      <name val="Calibri"/>
    </font>
    <font>
      <sz val="10.0"/>
      <color theme="0"/>
      <name val="Calibri"/>
    </font>
    <font>
      <b/>
      <u/>
      <sz val="12.0"/>
      <color theme="1"/>
      <name val="Calibri"/>
    </font>
    <font>
      <b/>
      <i/>
      <sz val="10.0"/>
      <color theme="1"/>
      <name val="Calibri"/>
    </font>
    <font>
      <u/>
      <sz val="11.0"/>
      <color rgb="FF0000FF"/>
      <name val="Calibri"/>
    </font>
    <font>
      <b/>
      <i/>
      <sz val="11.0"/>
      <color theme="1"/>
      <name val="Calibri"/>
    </font>
    <font>
      <b/>
      <u/>
      <sz val="11.0"/>
      <color theme="10"/>
      <name val="Calibri"/>
    </font>
    <font>
      <b/>
      <sz val="10.0"/>
      <color rgb="FFA5A5A5"/>
      <name val="Arial"/>
    </font>
    <font>
      <sz val="12.0"/>
      <color theme="1"/>
      <name val="Arial"/>
    </font>
    <font>
      <i/>
      <sz val="9.0"/>
      <color rgb="FF7F7F7F"/>
      <name val="Arial"/>
    </font>
    <font>
      <b/>
      <sz val="10.0"/>
      <color rgb="FF262626"/>
      <name val="Arial"/>
    </font>
    <font>
      <b/>
      <u/>
      <sz val="12.0"/>
      <color theme="1"/>
      <name val="Arial"/>
    </font>
    <font>
      <i/>
      <sz val="10.0"/>
      <color theme="0"/>
      <name val="Arial"/>
    </font>
    <font>
      <i/>
      <sz val="12.0"/>
      <color theme="1"/>
      <name val="Arial"/>
    </font>
    <font>
      <u/>
      <sz val="10.0"/>
      <color theme="1"/>
      <name val="Arial"/>
    </font>
    <font>
      <sz val="10.0"/>
      <color rgb="FFD8D8D8"/>
      <name val="Arial"/>
    </font>
    <font>
      <sz val="10.0"/>
      <color rgb="FFA5A5A5"/>
      <name val="Arial"/>
    </font>
    <font>
      <b/>
      <sz val="10.0"/>
      <color rgb="FFBFBFBF"/>
      <name val="Arial"/>
    </font>
    <font>
      <i/>
      <sz val="10.0"/>
      <color rgb="FF595959"/>
      <name val="Arial"/>
    </font>
    <font>
      <u/>
      <sz val="10.0"/>
      <color rgb="FF000000"/>
      <name val="Arial"/>
    </font>
    <font>
      <b/>
      <u/>
      <sz val="10.0"/>
      <color rgb="FF000000"/>
      <name val="Calibri"/>
    </font>
    <font>
      <sz val="10.0"/>
      <color rgb="FF000000"/>
      <name val="Calibri"/>
    </font>
    <font>
      <b/>
      <sz val="10.0"/>
      <color rgb="FFBFBFBF"/>
      <name val="Calibri"/>
    </font>
    <font>
      <sz val="9.0"/>
      <color theme="1"/>
      <name val="Calibri"/>
    </font>
    <font>
      <b/>
      <sz val="18.0"/>
      <color theme="1"/>
      <name val="Calibri"/>
    </font>
    <font>
      <b/>
      <sz val="9.0"/>
      <color rgb="FF0000FF"/>
      <name val="Calibri"/>
    </font>
    <font>
      <b/>
      <sz val="14.0"/>
      <color theme="1"/>
      <name val="Calibri"/>
    </font>
    <font>
      <sz val="8.0"/>
      <color rgb="FFFFFFFF"/>
      <name val="Calibri"/>
    </font>
    <font>
      <b/>
      <sz val="9.0"/>
      <color theme="1"/>
      <name val="Calibri"/>
    </font>
  </fonts>
  <fills count="13">
    <fill>
      <patternFill patternType="none"/>
    </fill>
    <fill>
      <patternFill patternType="lightGray"/>
    </fill>
    <fill>
      <patternFill patternType="solid">
        <fgColor rgb="FF0563C1"/>
        <bgColor rgb="FF0563C1"/>
      </patternFill>
    </fill>
    <fill>
      <patternFill patternType="solid">
        <fgColor rgb="FFD8D8D8"/>
        <bgColor rgb="FFD8D8D8"/>
      </patternFill>
    </fill>
    <fill>
      <patternFill patternType="solid">
        <fgColor rgb="FFFEF2CB"/>
        <bgColor rgb="FFFEF2CB"/>
      </patternFill>
    </fill>
    <fill>
      <patternFill patternType="solid">
        <fgColor rgb="FF262626"/>
        <bgColor rgb="FF262626"/>
      </patternFill>
    </fill>
    <fill>
      <patternFill patternType="solid">
        <fgColor rgb="FFFBE4D5"/>
        <bgColor rgb="FFFBE4D5"/>
      </patternFill>
    </fill>
    <fill>
      <patternFill patternType="solid">
        <fgColor rgb="FF595959"/>
        <bgColor rgb="FF595959"/>
      </patternFill>
    </fill>
    <fill>
      <patternFill patternType="solid">
        <fgColor rgb="FFD0CECE"/>
        <bgColor rgb="FFD0CECE"/>
      </patternFill>
    </fill>
    <fill>
      <patternFill patternType="solid">
        <fgColor rgb="FFF2F2F2"/>
        <bgColor rgb="FFF2F2F2"/>
      </patternFill>
    </fill>
    <fill>
      <patternFill patternType="solid">
        <fgColor rgb="FFF7CAAC"/>
        <bgColor rgb="FFF7CAAC"/>
      </patternFill>
    </fill>
    <fill>
      <patternFill patternType="solid">
        <fgColor rgb="FFFF0000"/>
        <bgColor rgb="FFFF0000"/>
      </patternFill>
    </fill>
    <fill>
      <patternFill patternType="solid">
        <fgColor theme="0"/>
        <bgColor theme="0"/>
      </patternFill>
    </fill>
  </fills>
  <borders count="22">
    <border/>
    <border>
      <left/>
      <right/>
      <top/>
      <bottom style="thin">
        <color rgb="FF000000"/>
      </bottom>
    </border>
    <border>
      <left/>
      <right/>
      <top/>
      <bottom/>
    </border>
    <border>
      <top style="thin">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bottom style="thin">
        <color rgb="FF595959"/>
      </bottom>
    </border>
    <border>
      <right style="thin">
        <color rgb="FF000000"/>
      </right>
    </border>
    <border>
      <left style="thin">
        <color rgb="FF000000"/>
      </left>
      <right style="thin">
        <color rgb="FF000000"/>
      </right>
    </border>
    <border>
      <left/>
      <right style="dotted">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left/>
      <right style="hair">
        <color rgb="FF000000"/>
      </right>
      <top style="hair">
        <color rgb="FF000000"/>
      </top>
      <bottom style="hair">
        <color rgb="FF000000"/>
      </bottom>
    </border>
    <border>
      <bottom style="thin">
        <color rgb="FF000000"/>
      </bottom>
    </border>
    <border>
      <left style="thin">
        <color rgb="FF000000"/>
      </left>
      <right style="hair">
        <color rgb="FF000000"/>
      </right>
    </border>
    <border>
      <left style="thin">
        <color rgb="FF000000"/>
      </left>
    </border>
    <border>
      <left/>
      <right/>
      <top style="thin">
        <color rgb="FF000000"/>
      </top>
      <bottom style="thin">
        <color rgb="FF000000"/>
      </bottom>
    </border>
    <border>
      <top style="thin">
        <color rgb="FF000000"/>
      </top>
      <bottom style="thin">
        <color rgb="FF000000"/>
      </bottom>
    </border>
    <border>
      <left/>
      <right/>
      <top/>
      <bottom style="double">
        <color rgb="FF000000"/>
      </bottom>
    </border>
    <border>
      <bottom style="double">
        <color rgb="FF000000"/>
      </bottom>
    </border>
    <border>
      <top style="thin">
        <color rgb="FF000000"/>
      </top>
      <bottom style="double">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58">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0" fillId="0" fontId="4" numFmtId="0" xfId="0" applyAlignment="1" applyFont="1">
      <alignment vertical="center"/>
    </xf>
    <xf borderId="0" fillId="0" fontId="4" numFmtId="0" xfId="0" applyAlignment="1" applyFont="1">
      <alignment shrinkToFit="0" vertical="center" wrapText="1"/>
    </xf>
    <xf borderId="2" fillId="3" fontId="4" numFmtId="0" xfId="0" applyAlignment="1" applyBorder="1" applyFill="1" applyFont="1">
      <alignment vertical="center"/>
    </xf>
    <xf borderId="0" fillId="0" fontId="5" numFmtId="0" xfId="0" applyAlignment="1" applyFont="1">
      <alignment vertical="center"/>
    </xf>
    <xf borderId="0" fillId="0" fontId="6" numFmtId="0" xfId="0" applyAlignment="1" applyFont="1">
      <alignment vertical="center"/>
    </xf>
    <xf borderId="0" fillId="0" fontId="6" numFmtId="0" xfId="0" applyAlignment="1" applyFont="1">
      <alignment horizontal="center" vertical="center"/>
    </xf>
    <xf borderId="0" fillId="0" fontId="4" numFmtId="0" xfId="0" applyAlignment="1" applyFont="1">
      <alignment horizontal="center"/>
    </xf>
    <xf borderId="3" fillId="0" fontId="4" numFmtId="0" xfId="0" applyBorder="1" applyFont="1"/>
    <xf borderId="3" fillId="0" fontId="4"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4" fillId="4" fontId="4" numFmtId="164" xfId="0" applyAlignment="1" applyBorder="1" applyFill="1" applyFont="1" applyNumberFormat="1">
      <alignment horizontal="center"/>
    </xf>
    <xf borderId="5" fillId="0" fontId="7" numFmtId="0" xfId="0" applyBorder="1" applyFont="1"/>
    <xf borderId="6" fillId="0" fontId="7" numFmtId="0" xfId="0" applyBorder="1" applyFont="1"/>
    <xf borderId="7" fillId="0" fontId="4" numFmtId="0" xfId="0" applyBorder="1" applyFont="1"/>
    <xf borderId="7" fillId="0" fontId="4" numFmtId="0" xfId="0" applyAlignment="1" applyBorder="1" applyFont="1">
      <alignment horizontal="center"/>
    </xf>
    <xf borderId="0" fillId="0" fontId="8" numFmtId="0" xfId="0" applyAlignment="1" applyFont="1">
      <alignment horizontal="left"/>
    </xf>
    <xf borderId="3" fillId="0" fontId="9" numFmtId="0" xfId="0" applyBorder="1" applyFont="1"/>
    <xf borderId="8" fillId="0" fontId="4" numFmtId="0" xfId="0" applyAlignment="1" applyBorder="1" applyFont="1">
      <alignment horizontal="left"/>
    </xf>
    <xf borderId="9" fillId="0" fontId="10" numFmtId="0" xfId="0" applyAlignment="1" applyBorder="1" applyFont="1">
      <alignment horizontal="center" shrinkToFit="0" vertical="center" wrapText="1"/>
    </xf>
    <xf borderId="10" fillId="4" fontId="4" numFmtId="14" xfId="0" applyAlignment="1" applyBorder="1" applyFont="1" applyNumberFormat="1">
      <alignment horizontal="center"/>
    </xf>
    <xf borderId="0" fillId="0" fontId="4" numFmtId="0" xfId="0" applyAlignment="1" applyFont="1">
      <alignment horizontal="left"/>
    </xf>
    <xf borderId="11" fillId="4" fontId="4" numFmtId="0" xfId="0" applyAlignment="1" applyBorder="1" applyFont="1">
      <alignment horizontal="center"/>
    </xf>
    <xf borderId="0" fillId="0" fontId="11" numFmtId="0" xfId="0" applyFont="1"/>
    <xf borderId="9" fillId="0" fontId="4" numFmtId="0" xfId="0" applyAlignment="1" applyBorder="1" applyFont="1">
      <alignment horizontal="center" shrinkToFit="0" vertical="center" wrapText="1"/>
    </xf>
    <xf borderId="0" fillId="0" fontId="4" numFmtId="14" xfId="0" applyAlignment="1" applyFont="1" applyNumberFormat="1">
      <alignment horizontal="center"/>
    </xf>
    <xf borderId="12" fillId="4" fontId="4" numFmtId="164" xfId="0" applyAlignment="1" applyBorder="1" applyFont="1" applyNumberFormat="1">
      <alignment horizontal="center"/>
    </xf>
    <xf borderId="12" fillId="4" fontId="4" numFmtId="0" xfId="0" applyAlignment="1" applyBorder="1" applyFont="1">
      <alignment horizontal="center"/>
    </xf>
    <xf borderId="11" fillId="4" fontId="4" numFmtId="165" xfId="0" applyAlignment="1" applyBorder="1" applyFont="1" applyNumberFormat="1">
      <alignment horizontal="center"/>
    </xf>
    <xf borderId="12" fillId="4" fontId="4" numFmtId="165" xfId="0" applyAlignment="1" applyBorder="1" applyFont="1" applyNumberFormat="1">
      <alignment horizontal="center"/>
    </xf>
    <xf borderId="12" fillId="4" fontId="12" numFmtId="166" xfId="0" applyAlignment="1" applyBorder="1" applyFont="1" applyNumberFormat="1">
      <alignment horizontal="center"/>
    </xf>
    <xf borderId="13" fillId="0" fontId="4" numFmtId="0" xfId="0" applyBorder="1" applyFont="1"/>
    <xf borderId="13" fillId="0" fontId="4" numFmtId="0" xfId="0" applyAlignment="1" applyBorder="1" applyFont="1">
      <alignment horizontal="center"/>
    </xf>
    <xf borderId="13" fillId="0" fontId="4" numFmtId="9" xfId="0" applyBorder="1" applyFont="1" applyNumberFormat="1"/>
    <xf borderId="0" fillId="0" fontId="4" numFmtId="9" xfId="0" applyFont="1" applyNumberFormat="1"/>
    <xf borderId="1" fillId="5" fontId="13" numFmtId="0" xfId="0" applyBorder="1" applyFill="1" applyFont="1"/>
    <xf borderId="1" fillId="5" fontId="13" numFmtId="0" xfId="0" applyAlignment="1" applyBorder="1" applyFont="1">
      <alignment horizontal="center"/>
    </xf>
    <xf borderId="1" fillId="5" fontId="3" numFmtId="0" xfId="0" applyAlignment="1" applyBorder="1" applyFont="1">
      <alignment horizontal="center"/>
    </xf>
    <xf borderId="0" fillId="0" fontId="14" numFmtId="0" xfId="0" applyAlignment="1" applyFont="1">
      <alignment horizontal="left"/>
    </xf>
    <xf borderId="8" fillId="0" fontId="2" numFmtId="0" xfId="0" applyAlignment="1" applyBorder="1" applyFont="1">
      <alignment horizontal="left"/>
    </xf>
    <xf borderId="0" fillId="0" fontId="15" numFmtId="0" xfId="0" applyAlignment="1" applyFont="1">
      <alignment horizontal="center" shrinkToFit="0" vertical="center" wrapText="1"/>
    </xf>
    <xf borderId="14" fillId="0" fontId="16" numFmtId="0" xfId="0" applyAlignment="1" applyBorder="1" applyFont="1">
      <alignment horizontal="left"/>
    </xf>
    <xf borderId="11" fillId="4" fontId="4" numFmtId="9" xfId="0" applyAlignment="1" applyBorder="1" applyFont="1" applyNumberFormat="1">
      <alignment horizontal="center"/>
    </xf>
    <xf borderId="13" fillId="0" fontId="4" numFmtId="0" xfId="0" applyAlignment="1" applyBorder="1" applyFont="1">
      <alignment horizontal="left"/>
    </xf>
    <xf borderId="13" fillId="0" fontId="16" numFmtId="0" xfId="0" applyBorder="1" applyFont="1"/>
    <xf borderId="0" fillId="0" fontId="17" numFmtId="0" xfId="0" applyAlignment="1" applyFont="1">
      <alignment horizontal="center"/>
    </xf>
    <xf borderId="8" fillId="0" fontId="2" numFmtId="0" xfId="0" applyAlignment="1" applyBorder="1" applyFont="1">
      <alignment horizontal="left" vertical="center"/>
    </xf>
    <xf borderId="8" fillId="0" fontId="7" numFmtId="0" xfId="0" applyBorder="1" applyFont="1"/>
    <xf borderId="0" fillId="0" fontId="4" numFmtId="0" xfId="0" applyAlignment="1" applyFont="1">
      <alignment horizontal="center" shrinkToFit="0" vertical="center" wrapText="1"/>
    </xf>
    <xf borderId="0" fillId="0" fontId="16" numFmtId="0" xfId="0" applyFont="1"/>
    <xf borderId="11" fillId="4" fontId="4" numFmtId="164" xfId="0" applyAlignment="1" applyBorder="1" applyFont="1" applyNumberFormat="1">
      <alignment horizontal="center"/>
    </xf>
    <xf borderId="0" fillId="0" fontId="18" numFmtId="0" xfId="0" applyAlignment="1" applyFont="1">
      <alignment horizontal="center"/>
    </xf>
    <xf borderId="14" fillId="0" fontId="16" numFmtId="0" xfId="0" applyAlignment="1" applyBorder="1" applyFont="1">
      <alignment horizontal="left" shrinkToFit="0" vertical="center" wrapText="1"/>
    </xf>
    <xf borderId="11" fillId="4" fontId="4" numFmtId="9" xfId="0" applyAlignment="1" applyBorder="1" applyFont="1" applyNumberFormat="1">
      <alignment horizontal="center" vertical="center"/>
    </xf>
    <xf borderId="15" fillId="0" fontId="16" numFmtId="0" xfId="0" applyAlignment="1" applyBorder="1" applyFont="1">
      <alignment horizontal="left"/>
    </xf>
    <xf borderId="15" fillId="0" fontId="16" numFmtId="0" xfId="0" applyAlignment="1" applyBorder="1" applyFont="1">
      <alignment horizontal="left" shrinkToFit="0" wrapText="1"/>
    </xf>
    <xf borderId="11" fillId="4" fontId="4" numFmtId="164" xfId="0" applyAlignment="1" applyBorder="1" applyFont="1" applyNumberFormat="1">
      <alignment horizontal="center" vertical="center"/>
    </xf>
    <xf borderId="0" fillId="0" fontId="19" numFmtId="0" xfId="0" applyAlignment="1" applyFont="1">
      <alignment horizontal="center" vertical="center"/>
    </xf>
    <xf borderId="0" fillId="0" fontId="20" numFmtId="0" xfId="0" applyFont="1"/>
    <xf borderId="0" fillId="0" fontId="2" numFmtId="0" xfId="0" applyAlignment="1" applyFont="1">
      <alignment horizontal="center" vertical="center"/>
    </xf>
    <xf borderId="0" fillId="0" fontId="2" numFmtId="0" xfId="0" applyAlignment="1" applyFont="1">
      <alignment horizontal="left" vertical="center"/>
    </xf>
    <xf borderId="0" fillId="0" fontId="21" numFmtId="0" xfId="0" applyAlignment="1" applyFont="1">
      <alignment horizontal="left"/>
    </xf>
    <xf borderId="0" fillId="0" fontId="22" numFmtId="167" xfId="0" applyAlignment="1" applyFont="1" applyNumberFormat="1">
      <alignment horizontal="center"/>
    </xf>
    <xf borderId="0" fillId="0" fontId="21" numFmtId="0" xfId="0" applyAlignment="1" applyFont="1">
      <alignment horizontal="left" shrinkToFit="0" vertical="center" wrapText="1"/>
    </xf>
    <xf borderId="0" fillId="0" fontId="22" numFmtId="167" xfId="0" applyAlignment="1" applyFont="1" applyNumberFormat="1">
      <alignment horizontal="center" vertical="center"/>
    </xf>
    <xf borderId="0" fillId="0" fontId="4" numFmtId="165" xfId="0" applyAlignment="1" applyFont="1" applyNumberFormat="1">
      <alignment horizontal="center" vertical="center"/>
    </xf>
    <xf borderId="8" fillId="0" fontId="2" numFmtId="0" xfId="0" applyAlignment="1" applyBorder="1" applyFont="1">
      <alignment horizontal="left" shrinkToFit="0" vertical="center" wrapText="1"/>
    </xf>
    <xf borderId="0" fillId="0" fontId="23" numFmtId="168" xfId="0" applyAlignment="1" applyFont="1" applyNumberFormat="1">
      <alignment vertical="center"/>
    </xf>
    <xf borderId="0" fillId="0" fontId="24" numFmtId="168" xfId="0" applyAlignment="1" applyFont="1" applyNumberFormat="1">
      <alignment vertical="center"/>
    </xf>
    <xf borderId="0" fillId="0" fontId="24" numFmtId="168" xfId="0" applyAlignment="1" applyFont="1" applyNumberFormat="1">
      <alignment horizontal="left" vertical="center"/>
    </xf>
    <xf borderId="0" fillId="0" fontId="24" numFmtId="168" xfId="0" applyAlignment="1" applyFont="1" applyNumberFormat="1">
      <alignment horizontal="center" vertical="center"/>
    </xf>
    <xf borderId="0" fillId="0" fontId="25" numFmtId="0" xfId="0" applyAlignment="1" applyFont="1">
      <alignment vertical="center"/>
    </xf>
    <xf borderId="0" fillId="0" fontId="26" numFmtId="9" xfId="0" applyAlignment="1" applyFont="1" applyNumberFormat="1">
      <alignment horizontal="center" vertical="center"/>
    </xf>
    <xf borderId="2" fillId="5" fontId="27" numFmtId="0" xfId="0" applyAlignment="1" applyBorder="1" applyFont="1">
      <alignment vertical="center"/>
    </xf>
    <xf borderId="2" fillId="5" fontId="27" numFmtId="0" xfId="0" applyAlignment="1" applyBorder="1" applyFont="1">
      <alignment horizontal="left" vertical="center"/>
    </xf>
    <xf borderId="1" fillId="5" fontId="3" numFmtId="0" xfId="0" applyAlignment="1" applyBorder="1" applyFont="1">
      <alignment horizontal="center" vertical="center"/>
    </xf>
    <xf borderId="0" fillId="0" fontId="28" numFmtId="0" xfId="0" applyAlignment="1" applyFont="1">
      <alignment horizontal="center" vertical="center"/>
    </xf>
    <xf borderId="0" fillId="0" fontId="24" numFmtId="0" xfId="0" applyAlignment="1" applyFont="1">
      <alignment horizontal="left" vertical="center"/>
    </xf>
    <xf borderId="0" fillId="0" fontId="24" numFmtId="0" xfId="0" applyAlignment="1" applyFont="1">
      <alignment horizontal="center" vertical="center"/>
    </xf>
    <xf borderId="13" fillId="0" fontId="29" numFmtId="0" xfId="0" applyAlignment="1" applyBorder="1" applyFont="1">
      <alignment vertical="center"/>
    </xf>
    <xf borderId="13" fillId="0" fontId="30" numFmtId="0" xfId="0" applyAlignment="1" applyBorder="1" applyFont="1">
      <alignment vertical="center"/>
    </xf>
    <xf borderId="0" fillId="0" fontId="31" numFmtId="0" xfId="0" applyAlignment="1" applyFont="1">
      <alignment horizontal="center" vertical="center"/>
    </xf>
    <xf borderId="2" fillId="6" fontId="32" numFmtId="0" xfId="0" applyAlignment="1" applyBorder="1" applyFill="1" applyFont="1">
      <alignment vertical="center"/>
    </xf>
    <xf borderId="2" fillId="6" fontId="32" numFmtId="0" xfId="0" applyAlignment="1" applyBorder="1" applyFont="1">
      <alignment horizontal="left" vertical="center"/>
    </xf>
    <xf borderId="2" fillId="6" fontId="32" numFmtId="0" xfId="0" applyAlignment="1" applyBorder="1" applyFont="1">
      <alignment horizontal="center" vertical="center"/>
    </xf>
    <xf borderId="2" fillId="6" fontId="32" numFmtId="169" xfId="0" applyAlignment="1" applyBorder="1" applyFont="1" applyNumberFormat="1">
      <alignment horizontal="right" vertical="center"/>
    </xf>
    <xf borderId="0" fillId="0" fontId="24" numFmtId="170" xfId="0" applyAlignment="1" applyFont="1" applyNumberFormat="1">
      <alignment vertical="center"/>
    </xf>
    <xf borderId="0" fillId="0" fontId="33" numFmtId="0" xfId="0" applyAlignment="1" applyFont="1">
      <alignment horizontal="center" vertical="center"/>
    </xf>
    <xf borderId="0" fillId="0" fontId="24" numFmtId="0" xfId="0" applyAlignment="1" applyFont="1">
      <alignment vertical="center"/>
    </xf>
    <xf borderId="0" fillId="0" fontId="31" numFmtId="170" xfId="0" applyAlignment="1" applyFont="1" applyNumberFormat="1">
      <alignment horizontal="right" vertical="center"/>
    </xf>
    <xf borderId="0" fillId="0" fontId="34" numFmtId="0" xfId="0" applyAlignment="1" applyFont="1">
      <alignment horizontal="left" vertical="center"/>
    </xf>
    <xf borderId="0" fillId="0" fontId="34" numFmtId="0" xfId="0" applyAlignment="1" applyFont="1">
      <alignment vertical="center"/>
    </xf>
    <xf borderId="0" fillId="0" fontId="34" numFmtId="0" xfId="0" applyAlignment="1" applyFont="1">
      <alignment horizontal="center" vertical="center"/>
    </xf>
    <xf borderId="0" fillId="0" fontId="34" numFmtId="169" xfId="0" applyAlignment="1" applyFont="1" applyNumberFormat="1">
      <alignment vertical="center"/>
    </xf>
    <xf borderId="2" fillId="7" fontId="35" numFmtId="0" xfId="0" applyAlignment="1" applyBorder="1" applyFill="1" applyFont="1">
      <alignment vertical="center"/>
    </xf>
    <xf borderId="2" fillId="7" fontId="35" numFmtId="0" xfId="0" applyAlignment="1" applyBorder="1" applyFont="1">
      <alignment horizontal="center" vertical="center"/>
    </xf>
    <xf borderId="2" fillId="7" fontId="35" numFmtId="170" xfId="0" applyAlignment="1" applyBorder="1" applyFont="1" applyNumberFormat="1">
      <alignment horizontal="right" vertical="center"/>
    </xf>
    <xf borderId="2" fillId="6" fontId="31" numFmtId="0" xfId="0" applyAlignment="1" applyBorder="1" applyFont="1">
      <alignment vertical="center"/>
    </xf>
    <xf borderId="2" fillId="6" fontId="31" numFmtId="0" xfId="0" applyAlignment="1" applyBorder="1" applyFont="1">
      <alignment horizontal="center" vertical="center"/>
    </xf>
    <xf borderId="2" fillId="6" fontId="31" numFmtId="170" xfId="0" applyAlignment="1" applyBorder="1" applyFont="1" applyNumberFormat="1">
      <alignment horizontal="right" vertical="center"/>
    </xf>
    <xf borderId="13" fillId="0" fontId="36" numFmtId="0" xfId="0" applyAlignment="1" applyBorder="1" applyFont="1">
      <alignment vertical="center"/>
    </xf>
    <xf borderId="13" fillId="0" fontId="24" numFmtId="0" xfId="0" applyAlignment="1" applyBorder="1" applyFont="1">
      <alignment vertical="center"/>
    </xf>
    <xf borderId="0" fillId="0" fontId="23" numFmtId="0" xfId="0" applyAlignment="1" applyFont="1">
      <alignment vertical="center"/>
    </xf>
    <xf borderId="13" fillId="0" fontId="37" numFmtId="0" xfId="0" applyAlignment="1" applyBorder="1" applyFont="1">
      <alignment vertical="center"/>
    </xf>
    <xf borderId="0" fillId="0" fontId="38" numFmtId="0" xfId="0" applyFont="1"/>
    <xf borderId="0" fillId="0" fontId="25" numFmtId="171" xfId="0" applyAlignment="1" applyFont="1" applyNumberFormat="1">
      <alignment vertical="center"/>
    </xf>
    <xf borderId="13" fillId="0" fontId="25" numFmtId="0" xfId="0" applyAlignment="1" applyBorder="1" applyFont="1">
      <alignment vertical="center"/>
    </xf>
    <xf borderId="1" fillId="3" fontId="25" numFmtId="171" xfId="0" applyAlignment="1" applyBorder="1" applyFont="1" applyNumberFormat="1">
      <alignment vertical="center"/>
    </xf>
    <xf borderId="0" fillId="0" fontId="25" numFmtId="172" xfId="0" applyAlignment="1" applyFont="1" applyNumberFormat="1">
      <alignment vertical="center"/>
    </xf>
    <xf borderId="0" fillId="0" fontId="25" numFmtId="173" xfId="0" applyAlignment="1" applyFont="1" applyNumberFormat="1">
      <alignment vertical="center"/>
    </xf>
    <xf borderId="2" fillId="6" fontId="24" numFmtId="0" xfId="0" applyAlignment="1" applyBorder="1" applyFont="1">
      <alignment vertical="center"/>
    </xf>
    <xf borderId="2" fillId="6" fontId="24" numFmtId="0" xfId="0" applyAlignment="1" applyBorder="1" applyFont="1">
      <alignment horizontal="center" vertical="center"/>
    </xf>
    <xf borderId="2" fillId="6" fontId="24" numFmtId="170" xfId="0" applyAlignment="1" applyBorder="1" applyFont="1" applyNumberFormat="1">
      <alignment horizontal="right" vertical="center"/>
    </xf>
    <xf borderId="0" fillId="0" fontId="34" numFmtId="174" xfId="0" applyAlignment="1" applyFont="1" applyNumberFormat="1">
      <alignment vertical="center"/>
    </xf>
    <xf borderId="0" fillId="0" fontId="34" numFmtId="170" xfId="0" applyAlignment="1" applyFont="1" applyNumberFormat="1">
      <alignment vertical="center"/>
    </xf>
    <xf borderId="0" fillId="0" fontId="25" numFmtId="0" xfId="0" applyFont="1"/>
    <xf borderId="13" fillId="0" fontId="39" numFmtId="0" xfId="0" applyAlignment="1" applyBorder="1" applyFont="1">
      <alignment vertical="center"/>
    </xf>
    <xf borderId="13" fillId="0" fontId="25" numFmtId="0" xfId="0" applyBorder="1" applyFont="1"/>
    <xf borderId="0" fillId="0" fontId="39" numFmtId="0" xfId="0" applyAlignment="1" applyFont="1">
      <alignment vertical="center"/>
    </xf>
    <xf borderId="0" fillId="0" fontId="24" numFmtId="170" xfId="0" applyAlignment="1" applyFont="1" applyNumberFormat="1">
      <alignment horizontal="right" vertical="center"/>
    </xf>
    <xf borderId="13" fillId="0" fontId="31" numFmtId="0" xfId="0" applyAlignment="1" applyBorder="1" applyFont="1">
      <alignment horizontal="center" vertical="center"/>
    </xf>
    <xf borderId="13" fillId="0" fontId="31" numFmtId="170" xfId="0" applyAlignment="1" applyBorder="1" applyFont="1" applyNumberFormat="1">
      <alignment horizontal="right" vertical="center"/>
    </xf>
    <xf borderId="0" fillId="0" fontId="40" numFmtId="0" xfId="0" applyAlignment="1" applyFont="1">
      <alignment vertical="center"/>
    </xf>
    <xf borderId="2" fillId="6" fontId="31" numFmtId="17" xfId="0" applyAlignment="1" applyBorder="1" applyFont="1" applyNumberFormat="1">
      <alignment horizontal="center" vertical="center"/>
    </xf>
    <xf borderId="2" fillId="6" fontId="39" numFmtId="0" xfId="0" applyAlignment="1" applyBorder="1" applyFont="1">
      <alignment horizontal="center" vertical="center"/>
    </xf>
    <xf borderId="0" fillId="0" fontId="39" numFmtId="0" xfId="0" applyAlignment="1" applyFont="1">
      <alignment horizontal="center" vertical="center"/>
    </xf>
    <xf borderId="0" fillId="0" fontId="31" numFmtId="170" xfId="0" applyAlignment="1" applyFont="1" applyNumberFormat="1">
      <alignment vertical="center"/>
    </xf>
    <xf borderId="2" fillId="6" fontId="39" numFmtId="0" xfId="0" applyAlignment="1" applyBorder="1" applyFont="1">
      <alignment vertical="center"/>
    </xf>
    <xf borderId="2" fillId="6" fontId="31" numFmtId="170" xfId="0" applyAlignment="1" applyBorder="1" applyFont="1" applyNumberFormat="1">
      <alignment vertical="center"/>
    </xf>
    <xf borderId="2" fillId="7" fontId="35" numFmtId="174" xfId="0" applyAlignment="1" applyBorder="1" applyFont="1" applyNumberFormat="1">
      <alignment vertical="center"/>
    </xf>
    <xf borderId="0" fillId="0" fontId="35" numFmtId="0" xfId="0" applyAlignment="1" applyFont="1">
      <alignment vertical="center"/>
    </xf>
    <xf borderId="0" fillId="0" fontId="35" numFmtId="174" xfId="0" applyAlignment="1" applyFont="1" applyNumberFormat="1">
      <alignment vertical="center"/>
    </xf>
    <xf borderId="13" fillId="0" fontId="6" numFmtId="0" xfId="0" applyAlignment="1" applyBorder="1" applyFont="1">
      <alignment vertical="center"/>
    </xf>
    <xf borderId="3" fillId="0" fontId="25" numFmtId="0" xfId="0" applyAlignment="1" applyBorder="1" applyFont="1">
      <alignment horizontal="left"/>
    </xf>
    <xf borderId="3" fillId="0" fontId="24" numFmtId="0" xfId="0" applyAlignment="1" applyBorder="1" applyFont="1">
      <alignment vertical="center"/>
    </xf>
    <xf borderId="3" fillId="0" fontId="31" numFmtId="0" xfId="0" applyAlignment="1" applyBorder="1" applyFont="1">
      <alignment horizontal="center" vertical="center"/>
    </xf>
    <xf borderId="3" fillId="0" fontId="31" numFmtId="170" xfId="0" applyAlignment="1" applyBorder="1" applyFont="1" applyNumberFormat="1">
      <alignment horizontal="right" vertical="center"/>
    </xf>
    <xf borderId="2" fillId="6" fontId="41" numFmtId="0" xfId="0" applyAlignment="1" applyBorder="1" applyFont="1">
      <alignment horizontal="left" vertical="center"/>
    </xf>
    <xf borderId="2" fillId="6" fontId="41" numFmtId="0" xfId="0" applyAlignment="1" applyBorder="1" applyFont="1">
      <alignment vertical="center"/>
    </xf>
    <xf borderId="2" fillId="6" fontId="17" numFmtId="0" xfId="0" applyAlignment="1" applyBorder="1" applyFont="1">
      <alignment horizontal="center" vertical="center"/>
    </xf>
    <xf borderId="2" fillId="6" fontId="17" numFmtId="170" xfId="0" applyAlignment="1" applyBorder="1" applyFont="1" applyNumberFormat="1">
      <alignment vertical="center"/>
    </xf>
    <xf borderId="2" fillId="7" fontId="42" numFmtId="0" xfId="0" applyAlignment="1" applyBorder="1" applyFont="1">
      <alignment horizontal="left" vertical="center"/>
    </xf>
    <xf borderId="2" fillId="7" fontId="42" numFmtId="0" xfId="0" applyAlignment="1" applyBorder="1" applyFont="1">
      <alignment vertical="center"/>
    </xf>
    <xf borderId="2" fillId="7" fontId="42" numFmtId="0" xfId="0" applyAlignment="1" applyBorder="1" applyFont="1">
      <alignment horizontal="center" vertical="center"/>
    </xf>
    <xf borderId="2" fillId="7" fontId="42" numFmtId="170" xfId="0" applyAlignment="1" applyBorder="1" applyFont="1" applyNumberFormat="1">
      <alignment horizontal="right" vertical="center"/>
    </xf>
    <xf borderId="7" fillId="0" fontId="25" numFmtId="0" xfId="0" applyAlignment="1" applyBorder="1" applyFont="1">
      <alignment vertical="center"/>
    </xf>
    <xf borderId="7" fillId="0" fontId="39" numFmtId="0" xfId="0" applyAlignment="1" applyBorder="1" applyFont="1">
      <alignment vertical="center"/>
    </xf>
    <xf borderId="7" fillId="0" fontId="24" numFmtId="0" xfId="0" applyAlignment="1" applyBorder="1" applyFont="1">
      <alignment horizontal="center" vertical="center"/>
    </xf>
    <xf borderId="2" fillId="6" fontId="24" numFmtId="174" xfId="0" applyAlignment="1" applyBorder="1" applyFont="1" applyNumberFormat="1">
      <alignment horizontal="right" vertical="center"/>
    </xf>
    <xf borderId="0" fillId="0" fontId="24" numFmtId="174" xfId="0" applyAlignment="1" applyFont="1" applyNumberFormat="1">
      <alignment horizontal="center" vertical="center"/>
    </xf>
    <xf borderId="2" fillId="7" fontId="35" numFmtId="175" xfId="0" applyAlignment="1" applyBorder="1" applyFont="1" applyNumberFormat="1">
      <alignment horizontal="right" vertical="center"/>
    </xf>
    <xf borderId="2" fillId="6" fontId="39" numFmtId="166" xfId="0" applyAlignment="1" applyBorder="1" applyFont="1" applyNumberFormat="1">
      <alignment horizontal="center"/>
    </xf>
    <xf borderId="2" fillId="6" fontId="25" numFmtId="0" xfId="0" applyAlignment="1" applyBorder="1" applyFont="1">
      <alignment vertical="center"/>
    </xf>
    <xf borderId="2" fillId="6" fontId="4" numFmtId="169" xfId="0" applyBorder="1" applyFont="1" applyNumberFormat="1"/>
    <xf borderId="0" fillId="0" fontId="4" numFmtId="176" xfId="0" applyFont="1" applyNumberFormat="1"/>
    <xf borderId="0" fillId="0" fontId="14" numFmtId="176" xfId="0" applyFont="1" applyNumberFormat="1"/>
    <xf borderId="0" fillId="0" fontId="43" numFmtId="0" xfId="0" applyFont="1"/>
    <xf borderId="0" fillId="0" fontId="35" numFmtId="0" xfId="0" applyAlignment="1" applyFont="1">
      <alignment horizontal="center" vertical="center"/>
    </xf>
    <xf borderId="0" fillId="0" fontId="44" numFmtId="174" xfId="0" applyFont="1" applyNumberFormat="1"/>
    <xf borderId="0" fillId="0" fontId="45" numFmtId="168" xfId="0" applyAlignment="1" applyFont="1" applyNumberFormat="1">
      <alignment horizontal="center" vertical="center"/>
    </xf>
    <xf borderId="0" fillId="0" fontId="24" numFmtId="176" xfId="0" applyFont="1" applyNumberFormat="1"/>
    <xf borderId="0" fillId="0" fontId="46" numFmtId="0" xfId="0" applyFont="1"/>
    <xf borderId="0" fillId="0" fontId="31" numFmtId="9" xfId="0" applyAlignment="1" applyFont="1" applyNumberFormat="1">
      <alignment horizontal="center" vertical="center"/>
    </xf>
    <xf borderId="0" fillId="0" fontId="44" numFmtId="0" xfId="0" applyFont="1"/>
    <xf borderId="0" fillId="0" fontId="24" numFmtId="174" xfId="0" applyAlignment="1" applyFont="1" applyNumberFormat="1">
      <alignment horizontal="center"/>
    </xf>
    <xf borderId="1" fillId="5" fontId="35" numFmtId="17" xfId="0" applyAlignment="1" applyBorder="1" applyFont="1" applyNumberFormat="1">
      <alignment horizontal="center" vertical="center"/>
    </xf>
    <xf borderId="0" fillId="0" fontId="4" numFmtId="177" xfId="0" applyFont="1" applyNumberFormat="1"/>
    <xf borderId="2" fillId="6" fontId="22" numFmtId="0" xfId="0" applyAlignment="1" applyBorder="1" applyFont="1">
      <alignment horizontal="right"/>
    </xf>
    <xf borderId="0" fillId="0" fontId="22" numFmtId="0" xfId="0" applyAlignment="1" applyFont="1">
      <alignment horizontal="right"/>
    </xf>
    <xf borderId="0" fillId="0" fontId="22" numFmtId="178" xfId="0" applyFont="1" applyNumberFormat="1"/>
    <xf borderId="2" fillId="6" fontId="2" numFmtId="177" xfId="0" applyBorder="1" applyFont="1" applyNumberFormat="1"/>
    <xf borderId="0" fillId="0" fontId="2" numFmtId="177" xfId="0" applyFont="1" applyNumberFormat="1"/>
    <xf borderId="0" fillId="0" fontId="24" numFmtId="177" xfId="0" applyFont="1" applyNumberFormat="1"/>
    <xf borderId="2" fillId="6" fontId="4" numFmtId="177" xfId="0" applyBorder="1" applyFont="1" applyNumberFormat="1"/>
    <xf borderId="2" fillId="6" fontId="4" numFmtId="177" xfId="0" applyAlignment="1" applyBorder="1" applyFont="1" applyNumberFormat="1">
      <alignment horizontal="left"/>
    </xf>
    <xf borderId="0" fillId="0" fontId="4" numFmtId="177" xfId="0" applyAlignment="1" applyFont="1" applyNumberFormat="1">
      <alignment horizontal="left"/>
    </xf>
    <xf borderId="1" fillId="6" fontId="4" numFmtId="177" xfId="0" applyAlignment="1" applyBorder="1" applyFont="1" applyNumberFormat="1">
      <alignment horizontal="left"/>
    </xf>
    <xf borderId="13" fillId="0" fontId="4" numFmtId="177" xfId="0" applyAlignment="1" applyBorder="1" applyFont="1" applyNumberFormat="1">
      <alignment horizontal="left"/>
    </xf>
    <xf borderId="13" fillId="0" fontId="4" numFmtId="177" xfId="0" applyBorder="1" applyFont="1" applyNumberFormat="1"/>
    <xf borderId="16" fillId="6" fontId="2" numFmtId="177" xfId="0" applyBorder="1" applyFont="1" applyNumberFormat="1"/>
    <xf borderId="17" fillId="0" fontId="2" numFmtId="177" xfId="0" applyBorder="1" applyFont="1" applyNumberFormat="1"/>
    <xf borderId="17" fillId="0" fontId="4" numFmtId="177" xfId="0" applyBorder="1" applyFont="1" applyNumberFormat="1"/>
    <xf borderId="2" fillId="6" fontId="32" numFmtId="177" xfId="0" applyAlignment="1" applyBorder="1" applyFont="1" applyNumberFormat="1">
      <alignment horizontal="left"/>
    </xf>
    <xf borderId="0" fillId="0" fontId="32" numFmtId="177" xfId="0" applyAlignment="1" applyFont="1" applyNumberFormat="1">
      <alignment horizontal="left"/>
    </xf>
    <xf borderId="2" fillId="6" fontId="47" numFmtId="0" xfId="0" applyAlignment="1" applyBorder="1" applyFont="1">
      <alignment horizontal="right"/>
    </xf>
    <xf borderId="0" fillId="0" fontId="47" numFmtId="0" xfId="0" applyAlignment="1" applyFont="1">
      <alignment horizontal="right"/>
    </xf>
    <xf borderId="0" fillId="0" fontId="47" numFmtId="178" xfId="0" applyFont="1" applyNumberFormat="1"/>
    <xf borderId="2" fillId="6" fontId="4" numFmtId="0" xfId="0" applyBorder="1" applyFont="1"/>
    <xf borderId="0" fillId="0" fontId="4" numFmtId="174" xfId="0" applyFont="1" applyNumberFormat="1"/>
    <xf borderId="0" fillId="0" fontId="48" numFmtId="177" xfId="0" applyFont="1" applyNumberFormat="1"/>
    <xf borderId="0" fillId="0" fontId="22" numFmtId="179" xfId="0" applyFont="1" applyNumberFormat="1"/>
    <xf borderId="2" fillId="6" fontId="2" numFmtId="0" xfId="0" applyBorder="1" applyFont="1"/>
    <xf borderId="16" fillId="6" fontId="2" numFmtId="177" xfId="0" applyAlignment="1" applyBorder="1" applyFont="1" applyNumberFormat="1">
      <alignment horizontal="left"/>
    </xf>
    <xf borderId="17" fillId="0" fontId="2" numFmtId="177" xfId="0" applyAlignment="1" applyBorder="1" applyFont="1" applyNumberFormat="1">
      <alignment horizontal="left"/>
    </xf>
    <xf borderId="2" fillId="6" fontId="32" numFmtId="0" xfId="0" applyAlignment="1" applyBorder="1" applyFont="1">
      <alignment horizontal="left"/>
    </xf>
    <xf borderId="0" fillId="0" fontId="32" numFmtId="0" xfId="0" applyAlignment="1" applyFont="1">
      <alignment horizontal="left"/>
    </xf>
    <xf borderId="0" fillId="0" fontId="49" numFmtId="174" xfId="0" applyFont="1" applyNumberFormat="1"/>
    <xf borderId="7" fillId="0" fontId="4" numFmtId="177" xfId="0" applyBorder="1" applyFont="1" applyNumberFormat="1"/>
    <xf borderId="18" fillId="6" fontId="31" numFmtId="177" xfId="0" applyAlignment="1" applyBorder="1" applyFont="1" applyNumberFormat="1">
      <alignment horizontal="left"/>
    </xf>
    <xf borderId="19" fillId="0" fontId="31" numFmtId="177" xfId="0" applyAlignment="1" applyBorder="1" applyFont="1" applyNumberFormat="1">
      <alignment horizontal="left"/>
    </xf>
    <xf borderId="19" fillId="0" fontId="4" numFmtId="177" xfId="0" applyBorder="1" applyFont="1" applyNumberFormat="1"/>
    <xf borderId="0" fillId="0" fontId="47" numFmtId="10" xfId="0" applyFont="1" applyNumberFormat="1"/>
    <xf borderId="2" fillId="6" fontId="4" numFmtId="0" xfId="0" applyAlignment="1" applyBorder="1" applyFont="1">
      <alignment horizontal="left"/>
    </xf>
    <xf borderId="2" fillId="8" fontId="4" numFmtId="9" xfId="0" applyBorder="1" applyFill="1" applyFont="1" applyNumberFormat="1"/>
    <xf borderId="2" fillId="8" fontId="4" numFmtId="174" xfId="0" applyBorder="1" applyFont="1" applyNumberFormat="1"/>
    <xf borderId="0" fillId="0" fontId="4" numFmtId="178" xfId="0" applyFont="1" applyNumberFormat="1"/>
    <xf borderId="0" fillId="0" fontId="50" numFmtId="176" xfId="0" applyFont="1" applyNumberFormat="1"/>
    <xf borderId="2" fillId="6" fontId="51" numFmtId="177" xfId="0" applyAlignment="1" applyBorder="1" applyFont="1" applyNumberFormat="1">
      <alignment horizontal="center"/>
    </xf>
    <xf borderId="2" fillId="6" fontId="14" numFmtId="177" xfId="0" applyBorder="1" applyFont="1" applyNumberFormat="1"/>
    <xf borderId="2" fillId="6" fontId="50" numFmtId="177" xfId="0" applyBorder="1" applyFont="1" applyNumberFormat="1"/>
    <xf borderId="2" fillId="8" fontId="4" numFmtId="177" xfId="0" applyBorder="1" applyFont="1" applyNumberFormat="1"/>
    <xf borderId="2" fillId="6" fontId="50" numFmtId="177" xfId="0" applyAlignment="1" applyBorder="1" applyFont="1" applyNumberFormat="1">
      <alignment horizontal="left"/>
    </xf>
    <xf borderId="0" fillId="0" fontId="47" numFmtId="177" xfId="0" applyAlignment="1" applyFont="1" applyNumberFormat="1">
      <alignment horizontal="right"/>
    </xf>
    <xf borderId="0" fillId="0" fontId="22" numFmtId="177" xfId="0" applyAlignment="1" applyFont="1" applyNumberFormat="1">
      <alignment horizontal="right"/>
    </xf>
    <xf borderId="20" fillId="0" fontId="4" numFmtId="177" xfId="0" applyBorder="1" applyFont="1" applyNumberFormat="1"/>
    <xf borderId="0" fillId="0" fontId="2" numFmtId="177" xfId="0" applyAlignment="1" applyFont="1" applyNumberFormat="1">
      <alignment horizontal="left"/>
    </xf>
    <xf borderId="0" fillId="0" fontId="31" numFmtId="177" xfId="0" applyFont="1" applyNumberFormat="1"/>
    <xf borderId="0" fillId="0" fontId="31" numFmtId="177" xfId="0" applyAlignment="1" applyFont="1" applyNumberFormat="1">
      <alignment horizontal="left"/>
    </xf>
    <xf borderId="0" fillId="0" fontId="50" numFmtId="177" xfId="0" applyFont="1" applyNumberFormat="1"/>
    <xf borderId="0" fillId="0" fontId="50" numFmtId="177" xfId="0" applyAlignment="1" applyFont="1" applyNumberFormat="1">
      <alignment horizontal="center"/>
    </xf>
    <xf borderId="2" fillId="8" fontId="50" numFmtId="176" xfId="0" applyBorder="1" applyFont="1" applyNumberFormat="1"/>
    <xf borderId="2" fillId="8" fontId="50" numFmtId="177" xfId="0" applyBorder="1" applyFont="1" applyNumberFormat="1"/>
    <xf borderId="0" fillId="0" fontId="4" numFmtId="180" xfId="0" applyFont="1" applyNumberFormat="1"/>
    <xf borderId="0" fillId="0" fontId="14" numFmtId="0" xfId="0" applyFont="1"/>
    <xf borderId="0" fillId="0" fontId="52" numFmtId="0" xfId="0" applyFont="1"/>
    <xf borderId="0" fillId="0" fontId="42" numFmtId="0" xfId="0" applyAlignment="1" applyFont="1">
      <alignment horizontal="center" vertical="center"/>
    </xf>
    <xf borderId="0" fillId="0" fontId="53" numFmtId="168" xfId="0" applyAlignment="1" applyFont="1" applyNumberFormat="1">
      <alignment horizontal="center" vertical="center"/>
    </xf>
    <xf borderId="0" fillId="0" fontId="50" numFmtId="176" xfId="0" applyAlignment="1" applyFont="1" applyNumberFormat="1">
      <alignment horizontal="left"/>
    </xf>
    <xf borderId="0" fillId="0" fontId="17" numFmtId="9" xfId="0" applyAlignment="1" applyFont="1" applyNumberFormat="1">
      <alignment horizontal="center" vertical="center"/>
    </xf>
    <xf borderId="2" fillId="6" fontId="54" numFmtId="177" xfId="0" applyAlignment="1" applyBorder="1" applyFont="1" applyNumberFormat="1">
      <alignment horizontal="left"/>
    </xf>
    <xf borderId="2" fillId="6" fontId="14" numFmtId="177" xfId="0" applyAlignment="1" applyBorder="1" applyFont="1" applyNumberFormat="1">
      <alignment horizontal="left"/>
    </xf>
    <xf borderId="0" fillId="0" fontId="55" numFmtId="177" xfId="0" applyAlignment="1" applyFont="1" applyNumberFormat="1">
      <alignment horizontal="left"/>
    </xf>
    <xf borderId="0" fillId="0" fontId="21" numFmtId="177" xfId="0" applyAlignment="1" applyFont="1" applyNumberFormat="1">
      <alignment horizontal="right"/>
    </xf>
    <xf borderId="1" fillId="6" fontId="50" numFmtId="177" xfId="0" applyAlignment="1" applyBorder="1" applyFont="1" applyNumberFormat="1">
      <alignment horizontal="left"/>
    </xf>
    <xf borderId="0" fillId="0" fontId="17" numFmtId="177" xfId="0" applyFont="1" applyNumberFormat="1"/>
    <xf borderId="0" fillId="0" fontId="14" numFmtId="177" xfId="0" applyAlignment="1" applyFont="1" applyNumberFormat="1">
      <alignment horizontal="right"/>
    </xf>
    <xf borderId="0" fillId="0" fontId="50" numFmtId="177" xfId="0" applyAlignment="1" applyFont="1" applyNumberFormat="1">
      <alignment horizontal="left"/>
    </xf>
    <xf borderId="0" fillId="0" fontId="17" numFmtId="177" xfId="0" applyAlignment="1" applyFont="1" applyNumberFormat="1">
      <alignment horizontal="left"/>
    </xf>
    <xf borderId="0" fillId="0" fontId="4" numFmtId="0" xfId="0" applyFont="1"/>
    <xf borderId="0" fillId="0" fontId="2" numFmtId="176" xfId="0" applyFont="1" applyNumberFormat="1"/>
    <xf borderId="0" fillId="0" fontId="56" numFmtId="0" xfId="0" applyFont="1"/>
    <xf borderId="13" fillId="0" fontId="2" numFmtId="0" xfId="0" applyBorder="1" applyFont="1"/>
    <xf borderId="17" fillId="0" fontId="4" numFmtId="0" xfId="0" applyAlignment="1" applyBorder="1" applyFont="1">
      <alignment horizontal="left"/>
    </xf>
    <xf borderId="17" fillId="0" fontId="4" numFmtId="0" xfId="0" applyBorder="1" applyFont="1"/>
    <xf borderId="19" fillId="0" fontId="2" numFmtId="0" xfId="0" applyBorder="1" applyFont="1"/>
    <xf borderId="19" fillId="0" fontId="2" numFmtId="177" xfId="0" applyBorder="1" applyFont="1" applyNumberFormat="1"/>
    <xf borderId="0" fillId="0" fontId="4" numFmtId="177" xfId="0" applyAlignment="1" applyFont="1" applyNumberFormat="1">
      <alignment vertical="center"/>
    </xf>
    <xf borderId="13" fillId="0" fontId="4" numFmtId="0" xfId="0" applyAlignment="1" applyBorder="1" applyFont="1">
      <alignment shrinkToFit="0" vertical="center" wrapText="1"/>
    </xf>
    <xf borderId="13" fillId="0" fontId="4" numFmtId="177" xfId="0" applyAlignment="1" applyBorder="1" applyFont="1" applyNumberFormat="1">
      <alignment vertical="center"/>
    </xf>
    <xf borderId="0" fillId="0" fontId="4" numFmtId="169" xfId="0" applyAlignment="1" applyFont="1" applyNumberFormat="1">
      <alignment vertical="center"/>
    </xf>
    <xf borderId="3" fillId="0" fontId="22" numFmtId="0" xfId="0" applyBorder="1" applyFont="1"/>
    <xf borderId="3" fillId="0" fontId="57" numFmtId="0" xfId="0" applyBorder="1" applyFont="1"/>
    <xf borderId="3" fillId="0" fontId="22" numFmtId="169" xfId="0" applyBorder="1" applyFont="1" applyNumberFormat="1"/>
    <xf borderId="0" fillId="0" fontId="22" numFmtId="0" xfId="0" applyFont="1"/>
    <xf borderId="0" fillId="0" fontId="57" numFmtId="0" xfId="0" applyFont="1"/>
    <xf borderId="0" fillId="0" fontId="22" numFmtId="177" xfId="0" applyFont="1" applyNumberFormat="1"/>
    <xf borderId="0" fillId="0" fontId="22" numFmtId="176" xfId="0" applyFont="1" applyNumberFormat="1"/>
    <xf borderId="0" fillId="0" fontId="22" numFmtId="0" xfId="0" applyAlignment="1" applyFont="1">
      <alignment shrinkToFit="0" vertical="center" wrapText="1"/>
    </xf>
    <xf borderId="0" fillId="0" fontId="22" numFmtId="177" xfId="0" applyAlignment="1" applyFont="1" applyNumberFormat="1">
      <alignment vertical="center"/>
    </xf>
    <xf borderId="0" fillId="0" fontId="3" numFmtId="0" xfId="0" applyAlignment="1" applyFont="1">
      <alignment horizontal="center"/>
    </xf>
    <xf borderId="2" fillId="3" fontId="4" numFmtId="177" xfId="0" applyBorder="1" applyFont="1" applyNumberFormat="1"/>
    <xf borderId="19" fillId="0" fontId="4" numFmtId="0" xfId="0" applyBorder="1" applyFont="1"/>
    <xf borderId="18" fillId="3" fontId="4" numFmtId="177" xfId="0" applyBorder="1" applyFont="1" applyNumberFormat="1"/>
    <xf borderId="0" fillId="0" fontId="4" numFmtId="169" xfId="0" applyFont="1" applyNumberFormat="1"/>
    <xf borderId="2" fillId="3" fontId="4" numFmtId="169" xfId="0" applyBorder="1" applyFont="1" applyNumberFormat="1"/>
    <xf borderId="0" fillId="0" fontId="28" numFmtId="168" xfId="0" applyAlignment="1" applyFont="1" applyNumberFormat="1">
      <alignment horizontal="center" vertical="center"/>
    </xf>
    <xf borderId="0" fillId="0" fontId="25" numFmtId="168" xfId="0" applyAlignment="1" applyFont="1" applyNumberFormat="1">
      <alignment vertical="center"/>
    </xf>
    <xf borderId="0" fillId="0" fontId="24" numFmtId="169" xfId="0" applyAlignment="1" applyFont="1" applyNumberFormat="1">
      <alignment horizontal="center" vertical="center"/>
    </xf>
    <xf borderId="0" fillId="0" fontId="24" numFmtId="9" xfId="0" applyAlignment="1" applyFont="1" applyNumberFormat="1">
      <alignment horizontal="center" vertical="center"/>
    </xf>
    <xf borderId="0" fillId="0" fontId="24" numFmtId="17" xfId="0" applyAlignment="1" applyFont="1" applyNumberFormat="1">
      <alignment horizontal="right" vertical="center"/>
    </xf>
    <xf borderId="0" fillId="0" fontId="24" numFmtId="17" xfId="0" applyAlignment="1" applyFont="1" applyNumberFormat="1">
      <alignment horizontal="center" vertical="center"/>
    </xf>
    <xf borderId="0" fillId="0" fontId="2" numFmtId="0" xfId="0" applyAlignment="1" applyFont="1">
      <alignment vertical="center"/>
    </xf>
    <xf borderId="0" fillId="0" fontId="27" numFmtId="0" xfId="0" applyAlignment="1" applyFont="1">
      <alignment horizontal="left" vertical="center"/>
    </xf>
    <xf borderId="0" fillId="0" fontId="27" numFmtId="0" xfId="0" applyAlignment="1" applyFont="1">
      <alignment vertical="center"/>
    </xf>
    <xf borderId="0" fillId="0" fontId="58" numFmtId="0" xfId="0" applyAlignment="1" applyFont="1">
      <alignment vertical="center"/>
    </xf>
    <xf borderId="0" fillId="0" fontId="59" numFmtId="0" xfId="0" applyAlignment="1" applyFont="1">
      <alignment horizontal="center" vertical="center"/>
    </xf>
    <xf borderId="2" fillId="5" fontId="35" numFmtId="9" xfId="0" applyAlignment="1" applyBorder="1" applyFont="1" applyNumberFormat="1">
      <alignment horizontal="center" vertical="center"/>
    </xf>
    <xf borderId="0" fillId="0" fontId="31" numFmtId="17" xfId="0" applyAlignment="1" applyFont="1" applyNumberFormat="1">
      <alignment horizontal="right" vertical="center"/>
    </xf>
    <xf borderId="0" fillId="0" fontId="60" numFmtId="0" xfId="0" applyAlignment="1" applyFont="1">
      <alignment vertical="center"/>
    </xf>
    <xf borderId="0" fillId="0" fontId="47" numFmtId="0" xfId="0" applyAlignment="1" applyFont="1">
      <alignment horizontal="left" vertical="center"/>
    </xf>
    <xf borderId="0" fillId="0" fontId="47" numFmtId="0" xfId="0" applyAlignment="1" applyFont="1">
      <alignment horizontal="center" vertical="center"/>
    </xf>
    <xf borderId="0" fillId="0" fontId="61" numFmtId="0" xfId="0" applyAlignment="1" applyFont="1">
      <alignment horizontal="center" shrinkToFit="0" vertical="center" wrapText="1"/>
    </xf>
    <xf borderId="0" fillId="0" fontId="24" numFmtId="0" xfId="0" applyAlignment="1" applyFont="1">
      <alignment horizontal="center" shrinkToFit="0" vertical="center" wrapText="1"/>
    </xf>
    <xf borderId="2" fillId="8" fontId="62" numFmtId="0" xfId="0" applyAlignment="1" applyBorder="1" applyFont="1">
      <alignment vertical="center"/>
    </xf>
    <xf borderId="2" fillId="8" fontId="24" numFmtId="0" xfId="0" applyAlignment="1" applyBorder="1" applyFont="1">
      <alignment vertical="center"/>
    </xf>
    <xf borderId="0" fillId="0" fontId="47" numFmtId="0" xfId="0" applyAlignment="1" applyFont="1">
      <alignment vertical="center"/>
    </xf>
    <xf borderId="0" fillId="0" fontId="47" numFmtId="170" xfId="0" applyAlignment="1" applyFont="1" applyNumberFormat="1">
      <alignment vertical="center"/>
    </xf>
    <xf borderId="21" fillId="9" fontId="47" numFmtId="9" xfId="0" applyAlignment="1" applyBorder="1" applyFill="1" applyFont="1" applyNumberFormat="1">
      <alignment horizontal="right" vertical="center"/>
    </xf>
    <xf borderId="0" fillId="0" fontId="31" numFmtId="0" xfId="0" applyAlignment="1" applyFont="1">
      <alignment horizontal="left" vertical="center"/>
    </xf>
    <xf borderId="0" fillId="0" fontId="47" numFmtId="169" xfId="0" applyAlignment="1" applyFont="1" applyNumberFormat="1">
      <alignment horizontal="right" vertical="center"/>
    </xf>
    <xf borderId="0" fillId="0" fontId="40" numFmtId="169" xfId="0" applyAlignment="1" applyFont="1" applyNumberFormat="1">
      <alignment vertical="center"/>
    </xf>
    <xf borderId="0" fillId="0" fontId="40" numFmtId="0" xfId="0" applyAlignment="1" applyFont="1">
      <alignment horizontal="left" vertical="center"/>
    </xf>
    <xf borderId="0" fillId="0" fontId="39" numFmtId="0" xfId="0" applyAlignment="1" applyFont="1">
      <alignment horizontal="left" vertical="center"/>
    </xf>
    <xf borderId="0" fillId="0" fontId="25" numFmtId="0" xfId="0" applyAlignment="1" applyFont="1">
      <alignment horizontal="left" vertical="center"/>
    </xf>
    <xf borderId="2" fillId="6" fontId="39" numFmtId="0" xfId="0" applyAlignment="1" applyBorder="1" applyFont="1">
      <alignment horizontal="left" vertical="center"/>
    </xf>
    <xf borderId="0" fillId="0" fontId="24" numFmtId="181" xfId="0" applyAlignment="1" applyFont="1" applyNumberFormat="1">
      <alignment vertical="center"/>
    </xf>
    <xf borderId="2" fillId="7" fontId="35" numFmtId="170" xfId="0" applyAlignment="1" applyBorder="1" applyFont="1" applyNumberFormat="1">
      <alignment vertical="center"/>
    </xf>
    <xf borderId="0" fillId="0" fontId="25" numFmtId="170" xfId="0" applyAlignment="1" applyFont="1" applyNumberFormat="1">
      <alignment vertical="center"/>
    </xf>
    <xf borderId="0" fillId="0" fontId="63" numFmtId="0" xfId="0" applyAlignment="1" applyFont="1">
      <alignment vertical="center"/>
    </xf>
    <xf borderId="2" fillId="8" fontId="24" numFmtId="0" xfId="0" applyAlignment="1" applyBorder="1" applyFont="1">
      <alignment horizontal="left" vertical="center"/>
    </xf>
    <xf borderId="2" fillId="8" fontId="45" numFmtId="170" xfId="0" applyAlignment="1" applyBorder="1" applyFont="1" applyNumberFormat="1">
      <alignment vertical="center"/>
    </xf>
    <xf borderId="2" fillId="8" fontId="47" numFmtId="0" xfId="0" applyAlignment="1" applyBorder="1" applyFont="1">
      <alignment horizontal="left" vertical="center"/>
    </xf>
    <xf borderId="2" fillId="8" fontId="47" numFmtId="0" xfId="0" applyAlignment="1" applyBorder="1" applyFont="1">
      <alignment vertical="center"/>
    </xf>
    <xf borderId="2" fillId="8" fontId="64" numFmtId="169" xfId="0" applyAlignment="1" applyBorder="1" applyFont="1" applyNumberFormat="1">
      <alignment vertical="center"/>
    </xf>
    <xf borderId="0" fillId="0" fontId="65" numFmtId="0" xfId="0" applyAlignment="1" applyFont="1">
      <alignment vertical="center"/>
    </xf>
    <xf borderId="2" fillId="6" fontId="24" numFmtId="170" xfId="0" applyAlignment="1" applyBorder="1" applyFont="1" applyNumberFormat="1">
      <alignment vertical="center"/>
    </xf>
    <xf borderId="0" fillId="0" fontId="31" numFmtId="0" xfId="0" applyAlignment="1" applyFont="1">
      <alignment vertical="center"/>
    </xf>
    <xf borderId="0" fillId="0" fontId="25" numFmtId="170" xfId="0" applyAlignment="1" applyFont="1" applyNumberFormat="1">
      <alignment horizontal="right" vertical="center"/>
    </xf>
    <xf borderId="0" fillId="0" fontId="24" numFmtId="0" xfId="0" applyAlignment="1" applyFont="1">
      <alignment horizontal="right" vertical="center"/>
    </xf>
    <xf borderId="0" fillId="0" fontId="31" numFmtId="170" xfId="0" applyAlignment="1" applyFont="1" applyNumberFormat="1">
      <alignment horizontal="center" vertical="center"/>
    </xf>
    <xf borderId="0" fillId="0" fontId="31" numFmtId="0" xfId="0" applyAlignment="1" applyFont="1">
      <alignment horizontal="right" vertical="center"/>
    </xf>
    <xf borderId="0" fillId="0" fontId="66" numFmtId="0" xfId="0" applyAlignment="1" applyFont="1">
      <alignment vertical="center"/>
    </xf>
    <xf borderId="0" fillId="0" fontId="39" numFmtId="170" xfId="0" applyAlignment="1" applyFont="1" applyNumberFormat="1">
      <alignment horizontal="right" vertical="center"/>
    </xf>
    <xf borderId="0" fillId="0" fontId="67" numFmtId="0" xfId="0" applyAlignment="1" applyFont="1">
      <alignment horizontal="center" vertical="center"/>
    </xf>
    <xf borderId="21" fillId="0" fontId="24" numFmtId="170" xfId="0" applyAlignment="1" applyBorder="1" applyFont="1" applyNumberFormat="1">
      <alignment horizontal="right" vertical="center"/>
    </xf>
    <xf borderId="0" fillId="0" fontId="39" numFmtId="0" xfId="0" applyFont="1"/>
    <xf borderId="21" fillId="0" fontId="47" numFmtId="170" xfId="0" applyAlignment="1" applyBorder="1" applyFont="1" applyNumberFormat="1">
      <alignment horizontal="right" vertical="center"/>
    </xf>
    <xf borderId="0" fillId="0" fontId="40" numFmtId="0" xfId="0" applyFont="1"/>
    <xf borderId="0" fillId="0" fontId="24" numFmtId="182" xfId="0" applyAlignment="1" applyFont="1" applyNumberFormat="1">
      <alignment horizontal="center" vertical="center"/>
    </xf>
    <xf borderId="0" fillId="0" fontId="67" numFmtId="0" xfId="0" applyFont="1"/>
    <xf borderId="2" fillId="6" fontId="59" numFmtId="0" xfId="0" applyAlignment="1" applyBorder="1" applyFont="1">
      <alignment vertical="center"/>
    </xf>
    <xf borderId="0" fillId="0" fontId="68" numFmtId="0" xfId="0" applyAlignment="1" applyFont="1">
      <alignment horizontal="left" vertical="center"/>
    </xf>
    <xf borderId="0" fillId="0" fontId="67" numFmtId="0" xfId="0" applyAlignment="1" applyFont="1">
      <alignment horizontal="left" vertical="center"/>
    </xf>
    <xf borderId="2" fillId="7" fontId="69" numFmtId="0" xfId="0" applyAlignment="1" applyBorder="1" applyFont="1">
      <alignment vertical="center"/>
    </xf>
    <xf borderId="0" fillId="0" fontId="70" numFmtId="0" xfId="0" applyAlignment="1" applyFont="1">
      <alignment horizontal="left" shrinkToFit="0" vertical="center" wrapText="1"/>
    </xf>
    <xf borderId="0" fillId="0" fontId="24" numFmtId="170" xfId="0" applyAlignment="1" applyFont="1" applyNumberFormat="1">
      <alignment horizontal="center" vertical="center"/>
    </xf>
    <xf borderId="2" fillId="7" fontId="35" numFmtId="170" xfId="0" applyAlignment="1" applyBorder="1" applyFont="1" applyNumberFormat="1">
      <alignment horizontal="center" vertical="center"/>
    </xf>
    <xf borderId="0" fillId="0" fontId="25" numFmtId="0" xfId="0" applyAlignment="1" applyFont="1">
      <alignment horizontal="right" vertical="center"/>
    </xf>
    <xf borderId="0" fillId="0" fontId="71" numFmtId="0" xfId="0" applyAlignment="1" applyFont="1">
      <alignment vertical="center"/>
    </xf>
    <xf borderId="0" fillId="0" fontId="72" numFmtId="0" xfId="0" applyFont="1"/>
    <xf borderId="0" fillId="0" fontId="73" numFmtId="0" xfId="0" applyFont="1"/>
    <xf borderId="0" fillId="0" fontId="16" numFmtId="0" xfId="0" applyAlignment="1" applyFont="1">
      <alignment vertical="center"/>
    </xf>
    <xf borderId="0" fillId="0" fontId="16" numFmtId="0" xfId="0" applyAlignment="1" applyFont="1">
      <alignment horizontal="center" vertical="center"/>
    </xf>
    <xf borderId="0" fillId="0" fontId="16" numFmtId="170" xfId="0" applyAlignment="1" applyFont="1" applyNumberFormat="1">
      <alignment horizontal="right" vertical="center"/>
    </xf>
    <xf borderId="0" fillId="0" fontId="16" numFmtId="0" xfId="0" applyAlignment="1" applyFont="1">
      <alignment horizontal="left" vertical="center"/>
    </xf>
    <xf borderId="2" fillId="7" fontId="74" numFmtId="0" xfId="0" applyAlignment="1" applyBorder="1" applyFont="1">
      <alignment vertical="center"/>
    </xf>
    <xf borderId="2" fillId="7" fontId="42" numFmtId="170" xfId="0" applyAlignment="1" applyBorder="1" applyFont="1" applyNumberFormat="1">
      <alignment vertical="center"/>
    </xf>
    <xf borderId="0" fillId="0" fontId="31" numFmtId="183" xfId="0" applyAlignment="1" applyFont="1" applyNumberFormat="1">
      <alignment horizontal="right" vertical="center"/>
    </xf>
    <xf borderId="2" fillId="7" fontId="35" numFmtId="176" xfId="0" applyAlignment="1" applyBorder="1" applyFont="1" applyNumberFormat="1">
      <alignment vertical="center"/>
    </xf>
    <xf borderId="2" fillId="7" fontId="35" numFmtId="176" xfId="0" applyAlignment="1" applyBorder="1" applyFont="1" applyNumberFormat="1">
      <alignment horizontal="center" vertical="center"/>
    </xf>
    <xf borderId="2" fillId="7" fontId="35" numFmtId="169" xfId="0" applyAlignment="1" applyBorder="1" applyFont="1" applyNumberFormat="1">
      <alignment vertical="center"/>
    </xf>
    <xf borderId="13" fillId="0" fontId="45" numFmtId="0" xfId="0" applyAlignment="1" applyBorder="1" applyFont="1">
      <alignment horizontal="center" vertical="center"/>
    </xf>
    <xf borderId="0" fillId="0" fontId="13" numFmtId="178" xfId="0" applyAlignment="1" applyFont="1" applyNumberFormat="1">
      <alignment horizontal="center"/>
    </xf>
    <xf borderId="2" fillId="10" fontId="39" numFmtId="166" xfId="0" applyAlignment="1" applyBorder="1" applyFill="1" applyFont="1" applyNumberFormat="1">
      <alignment horizontal="center"/>
    </xf>
    <xf borderId="0" fillId="0" fontId="75" numFmtId="0" xfId="0" applyFont="1"/>
    <xf borderId="0" fillId="0" fontId="76" numFmtId="0" xfId="0" applyAlignment="1" applyFont="1">
      <alignment vertical="center"/>
    </xf>
    <xf borderId="0" fillId="0" fontId="75" numFmtId="0" xfId="0" applyAlignment="1" applyFont="1">
      <alignment horizontal="right"/>
    </xf>
    <xf borderId="0" fillId="0" fontId="77" numFmtId="0" xfId="0" applyFont="1"/>
    <xf borderId="0" fillId="0" fontId="78" numFmtId="0" xfId="0" applyAlignment="1" applyFont="1">
      <alignment vertical="center"/>
    </xf>
    <xf borderId="2" fillId="11" fontId="79" numFmtId="0" xfId="0" applyAlignment="1" applyBorder="1" applyFill="1" applyFont="1">
      <alignment horizontal="center"/>
    </xf>
    <xf borderId="0" fillId="0" fontId="80" numFmtId="0" xfId="0" applyFont="1"/>
    <xf borderId="2" fillId="12" fontId="4" numFmtId="0" xfId="0" applyBorder="1" applyFill="1" applyFont="1"/>
    <xf borderId="2" fillId="12" fontId="2" numFmtId="0" xfId="0" applyBorder="1" applyFont="1"/>
    <xf borderId="2" fillId="12" fontId="4" numFmtId="0" xfId="0" applyAlignment="1" applyBorder="1" applyFon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FFFFFF"/>
      </font>
      <fill>
        <patternFill patternType="solid">
          <fgColor rgb="FF339966"/>
          <bgColor rgb="FF339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c:v>
          </c:tx>
          <c:spPr>
            <a:solidFill>
              <a:schemeClr val="accent1"/>
            </a:solidFill>
            <a:ln cmpd="sng">
              <a:solidFill>
                <a:srgbClr val="000000"/>
              </a:solidFill>
            </a:ln>
          </c:spPr>
          <c:val>
            <c:numRef>
              <c:f>'Summary Financials'!$E$9:$I$9</c:f>
              <c:numCache/>
            </c:numRef>
          </c:val>
        </c:ser>
        <c:ser>
          <c:idx val="1"/>
          <c:order val="1"/>
          <c:tx>
            <c:v>Gross Profit</c:v>
          </c:tx>
          <c:spPr>
            <a:solidFill>
              <a:schemeClr val="accent4"/>
            </a:solidFill>
            <a:ln cmpd="sng">
              <a:solidFill>
                <a:srgbClr val="000000"/>
              </a:solidFill>
            </a:ln>
          </c:spPr>
          <c:val>
            <c:numRef>
              <c:f>'Summary Financials'!$E$14:$I$14</c:f>
              <c:numCache/>
            </c:numRef>
          </c:val>
        </c:ser>
        <c:ser>
          <c:idx val="2"/>
          <c:order val="2"/>
          <c:tx>
            <c:v>EBITDA</c:v>
          </c:tx>
          <c:spPr>
            <a:solidFill>
              <a:schemeClr val="accent3"/>
            </a:solidFill>
            <a:ln cmpd="sng">
              <a:solidFill>
                <a:srgbClr val="000000"/>
              </a:solidFill>
            </a:ln>
          </c:spPr>
          <c:val>
            <c:numRef>
              <c:f>'Summary Financials'!$E$24:$I$24</c:f>
              <c:numCache/>
            </c:numRef>
          </c:val>
        </c:ser>
        <c:axId val="1431790506"/>
        <c:axId val="2013082883"/>
      </c:barChart>
      <c:catAx>
        <c:axId val="14317905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200">
                <a:solidFill>
                  <a:srgbClr val="000000"/>
                </a:solidFill>
                <a:latin typeface="+mn-lt"/>
              </a:defRPr>
            </a:pPr>
          </a:p>
        </c:txPr>
        <c:crossAx val="2013082883"/>
      </c:catAx>
      <c:valAx>
        <c:axId val="201308288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Red]\(\$#,##0\);\-" sourceLinked="0"/>
        <c:majorTickMark val="none"/>
        <c:minorTickMark val="none"/>
        <c:tickLblPos val="nextTo"/>
        <c:spPr>
          <a:ln/>
        </c:spPr>
        <c:txPr>
          <a:bodyPr/>
          <a:lstStyle/>
          <a:p>
            <a:pPr lvl="0">
              <a:defRPr b="0" i="0" sz="1200">
                <a:solidFill>
                  <a:srgbClr val="000000"/>
                </a:solidFill>
                <a:latin typeface="+mn-lt"/>
              </a:defRPr>
            </a:pPr>
          </a:p>
        </c:txPr>
        <c:crossAx val="1431790506"/>
      </c:valAx>
    </c:plotArea>
    <c:legend>
      <c:legendPos val="r"/>
      <c:overlay val="0"/>
      <c:txPr>
        <a:bodyPr/>
        <a:lstStyle/>
        <a:p>
          <a:pPr lvl="0">
            <a:defRPr b="0" i="0" sz="14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18928383952006"/>
          <c:w val="0.8545207397366593"/>
          <c:h val="0.5161654793150856"/>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1610806784"/>
        <c:axId val="300826244"/>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1610806784"/>
        <c:axId val="300826244"/>
      </c:lineChart>
      <c:catAx>
        <c:axId val="1610806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300826244"/>
      </c:catAx>
      <c:valAx>
        <c:axId val="3008262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1610806784"/>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1936014138"/>
        <c:axId val="1381563775"/>
      </c:lineChart>
      <c:catAx>
        <c:axId val="1936014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1381563775"/>
      </c:catAx>
      <c:valAx>
        <c:axId val="13815637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1936014138"/>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20012657467076597"/>
          <c:w val="0.8545207397366593"/>
          <c:h val="0.6110541188320107"/>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467812240"/>
        <c:axId val="938103617"/>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467812240"/>
        <c:axId val="938103617"/>
      </c:lineChart>
      <c:catAx>
        <c:axId val="4678122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938103617"/>
      </c:catAx>
      <c:valAx>
        <c:axId val="93810361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467812240"/>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196445202"/>
        <c:axId val="438141683"/>
      </c:lineChart>
      <c:catAx>
        <c:axId val="1964452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438141683"/>
      </c:catAx>
      <c:valAx>
        <c:axId val="43814168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196445202"/>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xdr:row>
      <xdr:rowOff>19050</xdr:rowOff>
    </xdr:from>
    <xdr:ext cx="13973175" cy="30575250"/>
    <xdr:pic>
      <xdr:nvPicPr>
        <xdr:cNvPr descr="A screenshot of a computer screen&#10;&#10;Description automatically generat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323850</xdr:colOff>
      <xdr:row>6</xdr:row>
      <xdr:rowOff>104775</xdr:rowOff>
    </xdr:from>
    <xdr:ext cx="10058400" cy="4162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533400</xdr:colOff>
      <xdr:row>93</xdr:row>
      <xdr:rowOff>142875</xdr:rowOff>
    </xdr:from>
    <xdr:ext cx="12811125" cy="29241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276225</xdr:colOff>
      <xdr:row>116</xdr:row>
      <xdr:rowOff>19050</xdr:rowOff>
    </xdr:from>
    <xdr:ext cx="11753850" cy="41529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250</xdr:row>
      <xdr:rowOff>0</xdr:rowOff>
    </xdr:from>
    <xdr:ext cx="4533900" cy="305752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38100</xdr:colOff>
      <xdr:row>270</xdr:row>
      <xdr:rowOff>28575</xdr:rowOff>
    </xdr:from>
    <xdr:ext cx="5543550" cy="231457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18</xdr:row>
      <xdr:rowOff>57150</xdr:rowOff>
    </xdr:from>
    <xdr:ext cx="1905000" cy="781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ack Findaro" id="{42d3a053-6c8e-42a9-b3fe-faae1dbd43c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2" dT="2023-11-17T20:30:10.00" personId="{42d3a053-6c8e-42a9-b3fe-faae1dbd43cf}" id="{f46ba505-2fbc-4769-9fcf-e40989a07a43}" done="0">
    <x18tc:text xml:space="preserve">The total financing comprised of equity/cash injection plus debt should always be greater than total investment required.</x18tc:text>
  </x18tc:threadedComment>
  <x18tc:threadedComment ref="D51" dT="2023-10-31T17:09:53.00" personId="{42d3a053-6c8e-42a9-b3fe-faae1dbd43cf}" id="{3cb5fefe-0e13-42e7-b648-b735b14b024b}" done="0">
    <x18tc:text xml:space="preserve">Typical SBA term is 10 years with rates averaging roughly PRIME +2% </x18tc:text>
  </x18tc:threadedComment>
  <x18tc:threadedComment ref="D48" dT="2023-08-09T16:14:57.00" personId="{42d3a053-6c8e-42a9-b3fe-faae1dbd43cf}" id="{d292b171-e5a0-4a5f-94d0-903a0a68d2d6}" done="0">
    <x18tc:text xml:space="preserve">You may have additional Equity / Cash Injection in any year after the first year only if you inject more outside equity into the business. If you do not inject more outside equity, then it will be $0 for year 2 onwards.</x18tc:text>
  </x18tc:threadedComment>
  <x18tc:threadedComment ref="D31" dT="2023-08-09T15:27:32.00" personId="{42d3a053-6c8e-42a9-b3fe-faae1dbd43cf}" id="{3a88ef3d-272d-4759-a130-e3bebdc98894}" done="0">
    <x18tc:text xml:space="preserve">Advertising, marketing materials, marketing consultants, ad words, meals &amp; entertainment. 
Your target total marketing spend (including the marketing fee / add fund) as a percentage of gross sales should be 6-10%.
</x18tc:text>
  </x18tc:threadedComment>
  <x18tc:threadedComment ref="D55" dT="2024-08-26T14:18:58.00" personId="{42d3a053-6c8e-42a9-b3fe-faae1dbd43cf}" id="{3837d6cb-ceb5-43d5-ae6d-ce958d083c59}" done="0">
    <x18tc:text xml:space="preserve">The impact of distributions is most visible on the Returns on Invested Capital sheet</x18tc:text>
  </x18tc:threadedComment>
  <x18tc:threadedComment ref="D30" dT="2023-07-19T22:23:26.00" personId="{42d3a053-6c8e-42a9-b3fe-faae1dbd43cf}" id="{7ef288cc-27d6-4f29-8aee-819965fd973b}" done="0">
    <x18tc:text xml:space="preserve">Facilities should include rent, utilities, telecommunications, IT costs, and vehicle fleet.</x18tc:text>
  </x18tc:threadedComment>
  <x18tc:threadedComment ref="D41" dT="2023-11-28T21:04:50.00" personId="{42d3a053-6c8e-42a9-b3fe-faae1dbd43cf}" id="{94bb1512-f056-43e4-8c48-d53faf77769d}" done="0">
    <x18tc:text xml:space="preserve">Total investment required for the franchise unit. This should be equal to the sum of capex investments, non-capex investments, and working capital.</x18tc:text>
  </x18tc:threadedComment>
  <x18tc:threadedComment ref="B10" dT="2023-11-28T20:54:58.00" personId="{42d3a053-6c8e-42a9-b3fe-faae1dbd43cf}" id="{d1237cac-a8a2-4f49-bb65-674dfe03f50e}" done="0">
    <x18tc:text xml:space="preserve">The number of months it will take to reach "Average Unit Volume" (AUV), otherwise known as average Gross Sales or Revenue, from the start of business operations date.</x18tc:text>
  </x18tc:threadedComment>
  <x18tc:threadedComment ref="D29" dT="2023-08-09T15:25:25.00" personId="{42d3a053-6c8e-42a9-b3fe-faae1dbd43cf}" id="{1af8e8e4-f6d2-44b8-a6ea-abf80e85ddda}" done="0">
    <x18tc:text xml:space="preserve">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D45" dT="2023-11-17T20:26:11.00" personId="{42d3a053-6c8e-42a9-b3fe-faae1dbd43cf}" id="{5a0a3bab-a23d-4176-b136-8117948e0bee}" done="0">
    <x18tc:text xml:space="preserve">The sum of CapEx investments and Non-CapEx investments should equal Total investment required</x18tc:text>
  </x18tc:threadedComment>
  <x18tc:threadedComment ref="D32" dT="2023-08-09T15:27:12.00" personId="{42d3a053-6c8e-42a9-b3fe-faae1dbd43cf}" id="{a1c44910-6d25-48b2-ad08-2df12e9b5821}" done="0">
    <x18tc:text xml:space="preserve">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x18tc:text>
  </x18tc:threadedComment>
  <x18tc:threadedComment ref="D33" dT="2023-08-09T15:47:40.00" personId="{42d3a053-6c8e-42a9-b3fe-faae1dbd43cf}" id="{8456a021-e8af-4922-bf12-f9d4aa0d6ad9}" done="0">
    <x18tc:text xml:space="preserve">This is calculated as an estimated percentage. Estimates are based off of Payroll taxes, FUTA, state unemployment tax, and benefits paid by the employer</x18tc:text>
  </x18tc:threadedComment>
  <x18tc:threadedComment ref="D38" dT="2023-09-27T15:51:08.00" personId="{42d3a053-6c8e-42a9-b3fe-faae1dbd43cf}" id="{97f9c1cc-e53e-4437-a4cd-4bc4e9eade00}" done="0">
    <x18tc:text xml:space="preserve">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x18tc:text>
  </x18tc:threadedComment>
  <x18tc:threadedComment ref="D44" dT="2023-10-05T19:42:09.00" personId="{42d3a053-6c8e-42a9-b3fe-faae1dbd43cf}" id="{9d984d19-9558-4927-a7f8-2c57d58c5cf8}" done="0">
    <x18tc:text xml:space="preserve">Use this for all other investment that is not CapEx, such as the franchise fee, and any other additional startup costs. These investments are not subject to depreciation</x18tc:text>
  </x18tc:threadedComment>
  <x18tc:threadedComment ref="D43" dT="2023-10-05T19:42:09.00" personId="{42d3a053-6c8e-42a9-b3fe-faae1dbd43cf}" id="{be4fad97-90b5-4e2a-8074-de34e3b7244d}" done="0">
    <x18tc:text xml:space="preserve">Use this for all other investment that is not CapEx, such as the franchise fee, and any other additional startup costs. These investments are not subject to depreciation</x18tc:text>
  </x18tc:threadedComment>
  <x18tc:threadedComment ref="B11" dT="2023-11-28T20:59:50.00" personId="{42d3a053-6c8e-42a9-b3fe-faae1dbd43cf}" id="{e61f77c4-7df3-44c0-9975-b0fb6f05bfab}" done="0">
    <x18tc:text xml:space="preserve">Input the estimated % of monthly AUV that the business is expected to achieve in the first month. From this base, the projected monthly gross sales can be calculated.</x18tc:text>
  </x18tc:threadedComment>
  <x18tc:threadedComment ref="D21" dT="2023-10-31T18:06:20.00" personId="{42d3a053-6c8e-42a9-b3fe-faae1dbd43cf}" id="{3e5bc8d3-ed36-4796-8130-4394bc4990da}" done="0">
    <x18tc:text xml:space="preserve">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x18tc:text>
  </x18tc:threadedComment>
  <x18tc:threadedComment ref="D42" dT="2023-10-05T19:41:35.00" personId="{42d3a053-6c8e-42a9-b3fe-faae1dbd43cf}" id="{855e516b-8881-4f61-8c02-a970f9800ea5}" done="0">
    <x18tc:text xml:space="preserve">Use this for investment into fixed assets, equipment, vehicles, etc. that is subject to depreciation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3" dT="2023-09-27T15:53:03.00" personId="{42d3a053-6c8e-42a9-b3fe-faae1dbd43cf}" id="{d02ad146-fad7-4e79-9136-9c03242085e4}" done="0">
    <x18tc:text xml:space="preserve">The Net Profit Before Tax is 'adjusted' to account for cases where the owner decides to perform a role in the business for which they receive no salary or under salary. This way, you can better understand the true performance of the business.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3-08-09T15:21:36.00" personId="{42d3a053-6c8e-42a9-b3fe-faae1dbd43cf}" id="{0915305d-1820-4486-a3cd-f393fcc17685}" done="0">
    <x18tc:text xml:space="preserve">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B26" dT="2023-08-09T15:22:41.00" personId="{42d3a053-6c8e-42a9-b3fe-faae1dbd43cf}" id="{5b003d4f-8226-4393-9fc4-40b16288cb6c}" done="0">
    <x18tc:text xml:space="preserve">all gross wages of all non-direct employees</x18tc:text>
  </x18tc:threadedComment>
  <x18tc:threadedComment ref="B24" dT="2023-08-09T15:22:10.00" personId="{42d3a053-6c8e-42a9-b3fe-faae1dbd43cf}" id="{de878475-e420-4de2-b757-fdf43bf98392}" done="0">
    <x18tc:text xml:space="preserve">Facilities include rent, utilities, telecommunications, IT costs or vehicle fleet.</x18tc:text>
  </x18tc:threadedComment>
  <x18tc:threadedComment ref="B28" dT="2023-08-09T15:23:05.00" personId="{42d3a053-6c8e-42a9-b3fe-faae1dbd43cf}" id="{0b67f23d-5cc0-4d83-bd9b-8d2612cf4bf1}" done="0">
    <x18tc:text xml:space="preserve">Other operating expenses - catchall bucket for everything else</x18tc:text>
  </x18tc:threadedComment>
  <x18tc:threadedComment ref="B27" dT="2023-08-09T15:22:53.00" personId="{42d3a053-6c8e-42a9-b3fe-faae1dbd43cf}" id="{dc0be148-a5df-49f7-9564-716febfb570b}" done="0">
    <x18tc:text xml:space="preserve">payroll taxes and benefits for all wages</x18tc:text>
  </x18tc:threadedComment>
  <x18tc:threadedComment ref="B25" dT="2023-08-09T15:22:30.00" personId="{42d3a053-6c8e-42a9-b3fe-faae1dbd43cf}" id="{ea70472d-46ab-4193-950e-22aa0a144f59}" done="0">
    <x18tc:text xml:space="preserve">Advertising, marketing materials, marketing consultants, ad words, meals &amp; entertainment, </x18tc:text>
  </x18tc:threadedComment>
  <x18tc:threadedComment ref="B29" dT="2023-08-09T15:23:05.00" personId="{42d3a053-6c8e-42a9-b3fe-faae1dbd43cf}" id="{e7148862-bdc4-4250-a8b1-84f072f349bd}" done="0">
    <x18tc:text xml:space="preserve">Other operating expenses - catchall bucket for everything else</x18tc:text>
  </x18tc:threadedComment>
  <x18tc:threadedComment ref="B12" dT="2023-08-09T15:20:44.00" personId="{42d3a053-6c8e-42a9-b3fe-faae1dbd43cf}" id="{ace2b7ad-e3d6-499d-9943-b762bf7f661a}" done="0">
    <x18tc:text xml:space="preserve">This field should only contain direct costs that do not include labor.  Typical items included are: materials, production supplies, subcontractors, direct travel</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3-11-29T20:00:02.00" personId="{42d3a053-6c8e-42a9-b3fe-faae1dbd43cf}" id="{0effae57-c0e0-4a79-abf5-ee2c77c36cfe}" done="0">
    <x18tc:text xml:space="preserve">Retained Earnings is after tax and after distributions</x18tc:text>
  </x18tc:threadedComment>
  <x18tc:threadedComment ref="B9" dT="2023-11-29T19:51:10.00" personId="{42d3a053-6c8e-42a9-b3fe-faae1dbd43cf}" id="{c5b95b72-98b0-4725-862c-2ac5a1cb0db0}" done="0">
    <x18tc:text xml:space="preserve">From the Input Assumptions sheet. This is the amount you were "underpaid."</x18tc:text>
  </x18tc:threadedComment>
  <x18tc:threadedComment ref="B21" dT="2023-09-27T16:06:50.00" personId="{42d3a053-6c8e-42a9-b3fe-faae1dbd43cf}" id="{670a21f4-f093-4828-b459-236d4136d991}" done="0">
    <x18tc:text xml:space="preserve">As a general rule of thumb, your core capital target is equal to two months of operating expenses and labor expenses in cash and nothing drawn on a line of credit.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3-09-27T16:24:36.00" personId="{42d3a053-6c8e-42a9-b3fe-faae1dbd43cf}" id="{dee191e4-a12a-4fc1-be9f-c1e6e6603311}" done="0">
    <x18tc:text xml:space="preserve">When you start a business or reinvest for growth, use ROIC for decision making.</x18tc:text>
  </x18tc:threadedComment>
  <x18tc:threadedComment ref="B19" dT="2023-09-27T16:24:18.00" personId="{42d3a053-6c8e-42a9-b3fe-faae1dbd43cf}" id="{994cd096-1533-437d-8f4f-181c0b4096db}" done="0">
    <x18tc:text xml:space="preserve">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3-10-18T16:16:18.00" personId="{42d3a053-6c8e-42a9-b3fe-faae1dbd43cf}" id="{5655f1ee-c0cc-43ee-a95c-2e83fd1d43ef}" done="0">
    <x18tc:text xml:space="preserve">All checks should be "TRUE"</x18tc:text>
  </x18tc:threadedComment>
  <x18tc:threadedComment ref="B7" dT="2023-10-18T16:16:11.00" personId="{42d3a053-6c8e-42a9-b3fe-faae1dbd43cf}" id="{998ec18a-6b7f-41d7-8df3-ea3373c05f50}" done="0">
    <x18tc:text xml:space="preserve">All checks should be "TRUE"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loom.com/share/a3e62906065740968310777238a8d74b?sid=3b8e9629-3089-4572-a7db-c1b4f082681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loom.com/share/f2eed8e7f63348098282963116a02539?sid=3f4177ee-c7c0-4105-a3bf-ee5046c6c1db" TargetMode="External"/><Relationship Id="rId22" Type="http://schemas.openxmlformats.org/officeDocument/2006/relationships/hyperlink" Target="https://www.loom.com/share/867db553358644df8c31c4447d971180?sid=28e04aaa-633d-4fb5-9c14-ce8cabe9c542" TargetMode="External"/><Relationship Id="rId21" Type="http://schemas.openxmlformats.org/officeDocument/2006/relationships/hyperlink" Target="https://www.loom.com/share/f99eea6aea6c4fa69a8f628dff89b7af?sid=5171e6d3-00a4-463c-ae06-5b3711f7be28" TargetMode="External"/><Relationship Id="rId24" Type="http://schemas.openxmlformats.org/officeDocument/2006/relationships/drawing" Target="../drawings/drawing3.xml"/><Relationship Id="rId23" Type="http://schemas.openxmlformats.org/officeDocument/2006/relationships/hyperlink" Target="https://www.loom.com/share/f643dd1e41264cf7a6029d826c7c069e?sid=d9a94560-f7ea-4c54-87c7-7ae747e7eb6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loom.com/share/44b07e263f6d41cf95ca8b439e5ea7f9?sid=ba07095c-4af3-4750-9be7-91f17bf51a44" TargetMode="External"/><Relationship Id="rId9" Type="http://schemas.openxmlformats.org/officeDocument/2006/relationships/hyperlink" Target="https://www.loom.com/share/9048ebc4cf4948fc9464628c4a8c5660?sid=0cc50542-99d8-4573-907c-072bed130de4" TargetMode="External"/><Relationship Id="rId25" Type="http://schemas.openxmlformats.org/officeDocument/2006/relationships/vmlDrawing" Target="../drawings/vmlDrawing1.vml"/><Relationship Id="rId5" Type="http://schemas.openxmlformats.org/officeDocument/2006/relationships/hyperlink" Target="https://www.loom.com/share/6f6062eee0ad4efb816c835aa8bab046?sid=ed421cf6-db75-4de0-88eb-d92e67da59dd" TargetMode="External"/><Relationship Id="rId6" Type="http://schemas.openxmlformats.org/officeDocument/2006/relationships/hyperlink" Target="https://www.loom.com/share/72c933ae985340ac8c486c8bd334b4a3?sid=54f75524-545d-4d26-b9b6-dc1f2342c6c4" TargetMode="External"/><Relationship Id="rId7" Type="http://schemas.openxmlformats.org/officeDocument/2006/relationships/hyperlink" Target="https://www.loom.com/share/effebce43de94ecd9a28cf59f7db72c5?sid=3dfb8242-1456-4e6e-801d-754eb3b5a613" TargetMode="External"/><Relationship Id="rId8" Type="http://schemas.openxmlformats.org/officeDocument/2006/relationships/hyperlink" Target="https://www.loom.com/share/dc706d587ed24734a8c830fd7eec1bd2?sid=e29d0562-67d2-4677-9e83-5158abafd436" TargetMode="External"/><Relationship Id="rId11" Type="http://schemas.openxmlformats.org/officeDocument/2006/relationships/hyperlink" Target="https://www.loom.com/share/2ba3805fb19442cd8f4a191c5537da07?sid=8d49f69a-c47f-41ae-8d53-11b966f57c9a" TargetMode="External"/><Relationship Id="rId10" Type="http://schemas.openxmlformats.org/officeDocument/2006/relationships/hyperlink" Target="https://www.loom.com/share/bfbbe58a534a4df383dd201eae8d6ca4?sid=e4cc2e60-4d4c-4202-9009-0c84dff8f6c5" TargetMode="External"/><Relationship Id="rId13" Type="http://schemas.openxmlformats.org/officeDocument/2006/relationships/hyperlink" Target="https://www.loom.com/share/d84fe9b1ba0e472680571dd09df9746b?sid=b32fcc39-0bac-4bef-9704-77f7a44fba8e" TargetMode="External"/><Relationship Id="rId12" Type="http://schemas.openxmlformats.org/officeDocument/2006/relationships/hyperlink" Target="https://www.loom.com/share/32f4599ae9574be5877a41773f7f2dc7?sid=7509bb19-e447-4e83-ade0-9f3dc4dc7f26" TargetMode="External"/><Relationship Id="rId15" Type="http://schemas.openxmlformats.org/officeDocument/2006/relationships/hyperlink" Target="https://www.loom.com/share/56ad5880cda64717ae59b351afa733b9?sid=34a9a81c-a84e-4dd2-bbe9-aa7be082b0aa" TargetMode="External"/><Relationship Id="rId14" Type="http://schemas.openxmlformats.org/officeDocument/2006/relationships/hyperlink" Target="https://www.loom.com/share/5b51d205a4144b1cb09f2e02c628c529?sid=af3251c6-26da-46aa-a644-9e4021ddeb30" TargetMode="External"/><Relationship Id="rId17" Type="http://schemas.openxmlformats.org/officeDocument/2006/relationships/hyperlink" Target="https://www.loom.com/share/b22de84d079b4167afdfc92c54d12982?sid=0411310d-0d8b-479a-beb9-9c499e460c45" TargetMode="External"/><Relationship Id="rId16" Type="http://schemas.openxmlformats.org/officeDocument/2006/relationships/hyperlink" Target="https://www.loom.com/share/bbd2aa97ddb24f68b2c0608002224fce?sid=0bc9f9b0-287f-47bc-bc4d-b037aac82685" TargetMode="External"/><Relationship Id="rId19" Type="http://schemas.openxmlformats.org/officeDocument/2006/relationships/hyperlink" Target="https://www.loom.com/share/d749251844d3443c9f3cb3bf5afe5cad?sid=441b980b-08df-4a67-b17e-3b4c0b9da6ae" TargetMode="External"/><Relationship Id="rId18" Type="http://schemas.openxmlformats.org/officeDocument/2006/relationships/hyperlink" Target="https://www.loom.com/share/c84353c830c9435d94ccaaf3daf7afdf?sid=71921861-b294-42ea-843c-203398d210ba"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loom.com/share/a38dbeb6fa4f463ebc91a3180cf588f1?sid=469b5c98-042f-439c-857f-cbc5f65c8895" TargetMode="External"/><Relationship Id="rId9" Type="http://schemas.openxmlformats.org/officeDocument/2006/relationships/drawing" Target="../drawings/drawing4.xml"/><Relationship Id="rId5" Type="http://schemas.openxmlformats.org/officeDocument/2006/relationships/hyperlink" Target="https://www.loom.com/share/a38dbeb6fa4f463ebc91a3180cf588f1?sid=469b5c98-042f-439c-857f-cbc5f65c8895" TargetMode="External"/><Relationship Id="rId6" Type="http://schemas.openxmlformats.org/officeDocument/2006/relationships/hyperlink" Target="https://www.loom.com/share/ecd3c7e4ecc34e669199a79af486838f?sid=f440b07e-516d-4c73-a599-e54622530d7a" TargetMode="External"/><Relationship Id="rId7" Type="http://schemas.openxmlformats.org/officeDocument/2006/relationships/hyperlink" Target="https://www.loom.com/share/d90d5507c8fd438488337e2b10213945?sid=7182dbad-b115-413c-b9df-ce7e16dc288a" TargetMode="External"/><Relationship Id="rId8" Type="http://schemas.openxmlformats.org/officeDocument/2006/relationships/hyperlink" Target="https://www.loom.com/share/b7b15b4a670447298ddba721eb1cd071?sid=bb60b51c-11db-4ff0-89ce-6326ce0aafa0" TargetMode="External"/><Relationship Id="rId10"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loom.com/share/9cfebc103a914c4c95a2c0e694ab1610?sid=b973cca5-b896-47d2-9e33-25f3ec457f24" TargetMode="External"/><Relationship Id="rId5" Type="http://schemas.openxmlformats.org/officeDocument/2006/relationships/drawing" Target="../drawings/drawing8.xml"/><Relationship Id="rId6"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loom.com/share/87ba3a6ee9b541d4be4d8edf40946733?sid=3774aa78-8fa4-4817-a63f-fcb59a4b3f8f" TargetMode="External"/><Relationship Id="rId5" Type="http://schemas.openxmlformats.org/officeDocument/2006/relationships/drawing" Target="../drawings/drawing9.xml"/><Relationship Id="rId6"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support@vettedbiz.com" TargetMode="External"/><Relationship Id="rId5" Type="http://schemas.openxmlformats.org/officeDocument/2006/relationships/drawing" Target="../drawings/drawing11.xml"/><Relationship Id="rId6"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0"/>
    <col customWidth="1" min="2" max="2" width="8.14"/>
    <col customWidth="1" min="3" max="3" width="213.71"/>
    <col customWidth="1" min="4" max="26" width="8.86"/>
  </cols>
  <sheetData>
    <row r="1" ht="14.25" customHeight="1"/>
    <row r="2" ht="45.0" customHeight="1">
      <c r="C2" s="1" t="s">
        <v>0</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sheetViews>
  <sheetFormatPr customHeight="1" defaultColWidth="14.43" defaultRowHeight="15.0"/>
  <cols>
    <col customWidth="1" min="1" max="1" width="5.29"/>
    <col customWidth="1" min="2" max="2" width="43.71"/>
    <col customWidth="1" min="3" max="3" width="94.29"/>
    <col customWidth="1" min="4" max="4" width="28.43"/>
    <col customWidth="1" min="5" max="26" width="8.86"/>
  </cols>
  <sheetData>
    <row r="1" ht="14.25" customHeight="1"/>
    <row r="2" ht="14.25" customHeight="1">
      <c r="B2" s="2" t="s">
        <v>1</v>
      </c>
    </row>
    <row r="3" ht="14.25" customHeight="1"/>
    <row r="4" ht="14.25" customHeight="1">
      <c r="B4" s="3" t="s">
        <v>2</v>
      </c>
      <c r="C4" s="3" t="s">
        <v>3</v>
      </c>
      <c r="D4" s="3" t="s">
        <v>4</v>
      </c>
    </row>
    <row r="5" ht="14.25" customHeight="1">
      <c r="A5" s="4"/>
      <c r="B5" s="4" t="s">
        <v>5</v>
      </c>
      <c r="C5" s="5" t="s">
        <v>6</v>
      </c>
      <c r="D5" s="4" t="s">
        <v>7</v>
      </c>
      <c r="E5" s="4"/>
      <c r="F5" s="4"/>
      <c r="G5" s="4"/>
      <c r="H5" s="4"/>
      <c r="I5" s="4"/>
      <c r="J5" s="4"/>
      <c r="K5" s="4"/>
      <c r="L5" s="4"/>
      <c r="M5" s="4"/>
      <c r="N5" s="4"/>
      <c r="O5" s="4"/>
      <c r="P5" s="4"/>
      <c r="Q5" s="4"/>
      <c r="R5" s="4"/>
      <c r="S5" s="4"/>
      <c r="T5" s="4"/>
      <c r="U5" s="4"/>
      <c r="V5" s="4"/>
      <c r="W5" s="4"/>
      <c r="X5" s="4"/>
      <c r="Y5" s="4"/>
      <c r="Z5" s="4"/>
    </row>
    <row r="6" ht="14.25" customHeight="1">
      <c r="A6" s="4"/>
      <c r="B6" s="4" t="s">
        <v>8</v>
      </c>
      <c r="C6" s="5" t="s">
        <v>9</v>
      </c>
      <c r="D6" s="5" t="s">
        <v>10</v>
      </c>
      <c r="E6" s="4"/>
      <c r="F6" s="4"/>
      <c r="G6" s="4"/>
      <c r="H6" s="4"/>
      <c r="I6" s="4"/>
      <c r="J6" s="4"/>
      <c r="K6" s="4"/>
      <c r="L6" s="4"/>
      <c r="M6" s="4"/>
      <c r="N6" s="4"/>
      <c r="O6" s="4"/>
      <c r="P6" s="4"/>
      <c r="Q6" s="4"/>
      <c r="R6" s="4"/>
      <c r="S6" s="4"/>
      <c r="T6" s="4"/>
      <c r="U6" s="4"/>
      <c r="V6" s="4"/>
      <c r="W6" s="4"/>
      <c r="X6" s="4"/>
      <c r="Y6" s="4"/>
      <c r="Z6" s="4"/>
    </row>
    <row r="7" ht="14.25" customHeight="1">
      <c r="A7" s="4"/>
      <c r="B7" s="4" t="s">
        <v>11</v>
      </c>
      <c r="C7" s="5" t="s">
        <v>12</v>
      </c>
      <c r="D7" s="5" t="s">
        <v>13</v>
      </c>
      <c r="E7" s="4"/>
      <c r="F7" s="4"/>
      <c r="G7" s="4"/>
      <c r="H7" s="4"/>
      <c r="I7" s="4"/>
      <c r="J7" s="4"/>
      <c r="K7" s="4"/>
      <c r="L7" s="4"/>
      <c r="M7" s="4"/>
      <c r="N7" s="4"/>
      <c r="O7" s="4"/>
      <c r="P7" s="4"/>
      <c r="Q7" s="4"/>
      <c r="R7" s="4"/>
      <c r="S7" s="4"/>
      <c r="T7" s="4"/>
      <c r="U7" s="4"/>
      <c r="V7" s="4"/>
      <c r="W7" s="4"/>
      <c r="X7" s="4"/>
      <c r="Y7" s="4"/>
      <c r="Z7" s="4"/>
    </row>
    <row r="8" ht="14.25" customHeight="1">
      <c r="A8" s="4"/>
      <c r="B8" s="4" t="s">
        <v>14</v>
      </c>
      <c r="C8" s="5" t="s">
        <v>15</v>
      </c>
      <c r="D8" s="5" t="s">
        <v>16</v>
      </c>
      <c r="E8" s="4"/>
      <c r="F8" s="4"/>
      <c r="G8" s="4"/>
      <c r="H8" s="4"/>
      <c r="I8" s="4"/>
      <c r="J8" s="4"/>
      <c r="K8" s="4"/>
      <c r="L8" s="4"/>
      <c r="M8" s="4"/>
      <c r="N8" s="4"/>
      <c r="O8" s="4"/>
      <c r="P8" s="4"/>
      <c r="Q8" s="4"/>
      <c r="R8" s="4"/>
      <c r="S8" s="4"/>
      <c r="T8" s="4"/>
      <c r="U8" s="4"/>
      <c r="V8" s="4"/>
      <c r="W8" s="4"/>
      <c r="X8" s="4"/>
      <c r="Y8" s="4"/>
      <c r="Z8" s="4"/>
    </row>
    <row r="9" ht="14.25" customHeight="1">
      <c r="A9" s="4"/>
      <c r="B9" s="4" t="s">
        <v>17</v>
      </c>
      <c r="C9" s="5" t="s">
        <v>18</v>
      </c>
      <c r="D9" s="5" t="s">
        <v>19</v>
      </c>
      <c r="E9" s="4"/>
      <c r="F9" s="4"/>
      <c r="G9" s="4"/>
      <c r="H9" s="4"/>
      <c r="I9" s="4"/>
      <c r="J9" s="4"/>
      <c r="K9" s="4"/>
      <c r="L9" s="4"/>
      <c r="M9" s="4"/>
      <c r="N9" s="4"/>
      <c r="O9" s="4"/>
      <c r="P9" s="4"/>
      <c r="Q9" s="4"/>
      <c r="R9" s="4"/>
      <c r="S9" s="4"/>
      <c r="T9" s="4"/>
      <c r="U9" s="4"/>
      <c r="V9" s="4"/>
      <c r="W9" s="4"/>
      <c r="X9" s="4"/>
      <c r="Y9" s="4"/>
      <c r="Z9" s="4"/>
    </row>
    <row r="10" ht="14.25" customHeight="1">
      <c r="A10" s="4"/>
      <c r="B10" s="4" t="s">
        <v>20</v>
      </c>
      <c r="C10" s="5" t="s">
        <v>21</v>
      </c>
      <c r="D10" s="5" t="s">
        <v>22</v>
      </c>
      <c r="E10" s="4"/>
      <c r="F10" s="4"/>
      <c r="G10" s="4"/>
      <c r="H10" s="4"/>
      <c r="I10" s="4"/>
      <c r="J10" s="4"/>
      <c r="K10" s="4"/>
      <c r="L10" s="4"/>
      <c r="M10" s="4"/>
      <c r="N10" s="4"/>
      <c r="O10" s="4"/>
      <c r="P10" s="4"/>
      <c r="Q10" s="4"/>
      <c r="R10" s="4"/>
      <c r="S10" s="4"/>
      <c r="T10" s="4"/>
      <c r="U10" s="4"/>
      <c r="V10" s="4"/>
      <c r="W10" s="4"/>
      <c r="X10" s="4"/>
      <c r="Y10" s="4"/>
      <c r="Z10" s="4"/>
    </row>
    <row r="11" ht="14.25" customHeight="1">
      <c r="A11" s="4"/>
      <c r="B11" s="4" t="s">
        <v>23</v>
      </c>
      <c r="C11" s="5" t="s">
        <v>24</v>
      </c>
      <c r="D11" s="5" t="s">
        <v>25</v>
      </c>
      <c r="E11" s="4"/>
      <c r="F11" s="4"/>
      <c r="G11" s="4"/>
      <c r="H11" s="4"/>
      <c r="I11" s="4"/>
      <c r="J11" s="4"/>
      <c r="K11" s="4"/>
      <c r="L11" s="4"/>
      <c r="M11" s="4"/>
      <c r="N11" s="4"/>
      <c r="O11" s="4"/>
      <c r="P11" s="4"/>
      <c r="Q11" s="4"/>
      <c r="R11" s="4"/>
      <c r="S11" s="4"/>
      <c r="T11" s="4"/>
      <c r="U11" s="4"/>
      <c r="V11" s="4"/>
      <c r="W11" s="4"/>
      <c r="X11" s="4"/>
      <c r="Y11" s="4"/>
      <c r="Z11" s="4"/>
    </row>
    <row r="12" ht="14.25" customHeight="1">
      <c r="A12" s="4"/>
      <c r="B12" s="4" t="s">
        <v>26</v>
      </c>
      <c r="C12" s="5" t="s">
        <v>27</v>
      </c>
      <c r="D12" s="5" t="s">
        <v>28</v>
      </c>
      <c r="E12" s="4"/>
      <c r="F12" s="4"/>
      <c r="G12" s="4"/>
      <c r="H12" s="4"/>
      <c r="I12" s="4"/>
      <c r="J12" s="4"/>
      <c r="K12" s="4"/>
      <c r="L12" s="4"/>
      <c r="M12" s="4"/>
      <c r="N12" s="4"/>
      <c r="O12" s="4"/>
      <c r="P12" s="4"/>
      <c r="Q12" s="4"/>
      <c r="R12" s="4"/>
      <c r="S12" s="4"/>
      <c r="T12" s="4"/>
      <c r="U12" s="4"/>
      <c r="V12" s="4"/>
      <c r="W12" s="4"/>
      <c r="X12" s="4"/>
      <c r="Y12" s="4"/>
      <c r="Z12" s="4"/>
    </row>
    <row r="13" ht="14.25" customHeight="1">
      <c r="A13" s="4"/>
      <c r="B13" s="4" t="s">
        <v>29</v>
      </c>
      <c r="C13" s="5" t="s">
        <v>30</v>
      </c>
      <c r="D13" s="5" t="s">
        <v>31</v>
      </c>
      <c r="E13" s="4"/>
      <c r="F13" s="4"/>
      <c r="G13" s="4"/>
      <c r="H13" s="4"/>
      <c r="I13" s="4"/>
      <c r="J13" s="4"/>
      <c r="K13" s="4"/>
      <c r="L13" s="4"/>
      <c r="M13" s="4"/>
      <c r="N13" s="4"/>
      <c r="O13" s="4"/>
      <c r="P13" s="4"/>
      <c r="Q13" s="4"/>
      <c r="R13" s="4"/>
      <c r="S13" s="4"/>
      <c r="T13" s="4"/>
      <c r="U13" s="4"/>
      <c r="V13" s="4"/>
      <c r="W13" s="4"/>
      <c r="X13" s="4"/>
      <c r="Y13" s="4"/>
      <c r="Z13" s="4"/>
    </row>
    <row r="14" ht="14.25" customHeight="1">
      <c r="A14" s="4"/>
      <c r="B14" s="4" t="s">
        <v>32</v>
      </c>
      <c r="C14" s="5" t="s">
        <v>33</v>
      </c>
      <c r="D14" s="5" t="s">
        <v>28</v>
      </c>
      <c r="E14" s="4"/>
      <c r="F14" s="4"/>
      <c r="G14" s="4"/>
      <c r="H14" s="4"/>
      <c r="I14" s="4"/>
      <c r="J14" s="4"/>
      <c r="K14" s="4"/>
      <c r="L14" s="4"/>
      <c r="M14" s="4"/>
      <c r="N14" s="4"/>
      <c r="O14" s="4"/>
      <c r="P14" s="4"/>
      <c r="Q14" s="4"/>
      <c r="R14" s="4"/>
      <c r="S14" s="4"/>
      <c r="T14" s="4"/>
      <c r="U14" s="4"/>
      <c r="V14" s="4"/>
      <c r="W14" s="4"/>
      <c r="X14" s="4"/>
      <c r="Y14" s="4"/>
      <c r="Z14" s="4"/>
    </row>
    <row r="15" ht="14.25" customHeight="1">
      <c r="A15" s="4"/>
      <c r="B15" s="4" t="s">
        <v>34</v>
      </c>
      <c r="C15" s="5" t="s">
        <v>35</v>
      </c>
      <c r="D15" s="5" t="s">
        <v>36</v>
      </c>
      <c r="E15" s="4"/>
      <c r="F15" s="4"/>
      <c r="G15" s="4"/>
      <c r="H15" s="4"/>
      <c r="I15" s="4"/>
      <c r="J15" s="4"/>
      <c r="K15" s="4"/>
      <c r="L15" s="4"/>
      <c r="M15" s="4"/>
      <c r="N15" s="4"/>
      <c r="O15" s="4"/>
      <c r="P15" s="4"/>
      <c r="Q15" s="4"/>
      <c r="R15" s="4"/>
      <c r="S15" s="4"/>
      <c r="T15" s="4"/>
      <c r="U15" s="4"/>
      <c r="V15" s="4"/>
      <c r="W15" s="4"/>
      <c r="X15" s="4"/>
      <c r="Y15" s="4"/>
      <c r="Z15" s="4"/>
    </row>
    <row r="16" ht="14.25" customHeight="1">
      <c r="A16" s="4"/>
      <c r="B16" s="4" t="s">
        <v>37</v>
      </c>
      <c r="C16" s="5" t="s">
        <v>38</v>
      </c>
      <c r="D16" s="5" t="s">
        <v>39</v>
      </c>
      <c r="E16" s="4"/>
      <c r="F16" s="4"/>
      <c r="G16" s="4"/>
      <c r="H16" s="4"/>
      <c r="I16" s="4"/>
      <c r="J16" s="4"/>
      <c r="K16" s="4"/>
      <c r="L16" s="4"/>
      <c r="M16" s="4"/>
      <c r="N16" s="4"/>
      <c r="O16" s="4"/>
      <c r="P16" s="4"/>
      <c r="Q16" s="4"/>
      <c r="R16" s="4"/>
      <c r="S16" s="4"/>
      <c r="T16" s="4"/>
      <c r="U16" s="4"/>
      <c r="V16" s="4"/>
      <c r="W16" s="4"/>
      <c r="X16" s="4"/>
      <c r="Y16" s="4"/>
      <c r="Z16" s="4"/>
    </row>
    <row r="17" ht="14.25" customHeight="1">
      <c r="A17" s="4"/>
      <c r="B17" s="4" t="s">
        <v>40</v>
      </c>
      <c r="C17" s="5" t="s">
        <v>41</v>
      </c>
      <c r="D17" s="6" t="s">
        <v>42</v>
      </c>
      <c r="E17" s="4"/>
      <c r="F17" s="4"/>
      <c r="G17" s="4"/>
      <c r="H17" s="4"/>
      <c r="I17" s="4"/>
      <c r="J17" s="4"/>
      <c r="K17" s="4"/>
      <c r="L17" s="4"/>
      <c r="M17" s="4"/>
      <c r="N17" s="4"/>
      <c r="O17" s="4"/>
      <c r="P17" s="4"/>
      <c r="Q17" s="4"/>
      <c r="R17" s="4"/>
      <c r="S17" s="4"/>
      <c r="T17" s="4"/>
      <c r="U17" s="4"/>
      <c r="V17" s="4"/>
      <c r="W17" s="4"/>
      <c r="X17" s="4"/>
      <c r="Y17" s="4"/>
      <c r="Z17" s="4"/>
    </row>
    <row r="18" ht="14.25" customHeight="1">
      <c r="A18" s="4"/>
      <c r="B18" s="4" t="s">
        <v>43</v>
      </c>
      <c r="C18" s="5" t="s">
        <v>44</v>
      </c>
      <c r="D18" s="4" t="s">
        <v>45</v>
      </c>
      <c r="E18" s="4"/>
      <c r="F18" s="4"/>
      <c r="G18" s="4"/>
      <c r="H18" s="4"/>
      <c r="I18" s="4"/>
      <c r="J18" s="4"/>
      <c r="K18" s="4"/>
      <c r="L18" s="4"/>
      <c r="M18" s="4"/>
      <c r="N18" s="4"/>
      <c r="O18" s="4"/>
      <c r="P18" s="4"/>
      <c r="Q18" s="4"/>
      <c r="R18" s="4"/>
      <c r="S18" s="4"/>
      <c r="T18" s="4"/>
      <c r="U18" s="4"/>
      <c r="V18" s="4"/>
      <c r="W18" s="4"/>
      <c r="X18" s="4"/>
      <c r="Y18" s="4"/>
      <c r="Z18" s="4"/>
    </row>
    <row r="19" ht="14.25" customHeight="1">
      <c r="A19" s="4"/>
      <c r="B19" s="4" t="s">
        <v>46</v>
      </c>
      <c r="C19" s="5" t="s">
        <v>47</v>
      </c>
      <c r="D19" s="6" t="s">
        <v>42</v>
      </c>
      <c r="E19" s="4"/>
      <c r="F19" s="4"/>
      <c r="G19" s="4"/>
      <c r="H19" s="4"/>
      <c r="I19" s="4"/>
      <c r="J19" s="4"/>
      <c r="K19" s="4"/>
      <c r="L19" s="4"/>
      <c r="M19" s="4"/>
      <c r="N19" s="4"/>
      <c r="O19" s="4"/>
      <c r="P19" s="4"/>
      <c r="Q19" s="4"/>
      <c r="R19" s="4"/>
      <c r="S19" s="4"/>
      <c r="T19" s="4"/>
      <c r="U19" s="4"/>
      <c r="V19" s="4"/>
      <c r="W19" s="4"/>
      <c r="X19" s="4"/>
      <c r="Y19" s="4"/>
      <c r="Z19" s="4"/>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37.29"/>
    <col customWidth="1" min="3" max="3" width="12.43"/>
    <col customWidth="1" min="4" max="4" width="40.0"/>
    <col customWidth="1" min="5" max="9" width="12.43"/>
    <col customWidth="1" min="10" max="10" width="2.14"/>
    <col customWidth="1" min="11" max="11" width="20.43"/>
    <col customWidth="1" min="12" max="26" width="8.86"/>
  </cols>
  <sheetData>
    <row r="1" ht="14.25" customHeight="1">
      <c r="A1" s="7"/>
      <c r="B1" s="8" t="s">
        <v>48</v>
      </c>
      <c r="C1" s="9"/>
      <c r="D1" s="8"/>
      <c r="E1" s="8"/>
      <c r="F1" s="8"/>
      <c r="G1" s="8"/>
      <c r="H1" s="8"/>
      <c r="I1" s="8"/>
    </row>
    <row r="2" ht="14.25" customHeight="1">
      <c r="C2" s="10"/>
    </row>
    <row r="3" ht="14.25" customHeight="1">
      <c r="B3" s="11"/>
      <c r="C3" s="12"/>
      <c r="D3" s="11"/>
      <c r="E3" s="11"/>
      <c r="F3" s="11"/>
      <c r="G3" s="11"/>
      <c r="H3" s="11"/>
      <c r="I3" s="11"/>
    </row>
    <row r="4" ht="14.25" customHeight="1">
      <c r="B4" s="13" t="s">
        <v>49</v>
      </c>
      <c r="C4" s="14"/>
      <c r="E4" s="15" t="s">
        <v>50</v>
      </c>
      <c r="F4" s="16"/>
      <c r="G4" s="16"/>
      <c r="H4" s="16"/>
      <c r="I4" s="17"/>
    </row>
    <row r="5" ht="14.25" customHeight="1">
      <c r="B5" s="18"/>
      <c r="C5" s="19"/>
      <c r="D5" s="18"/>
      <c r="E5" s="18"/>
      <c r="F5" s="18"/>
      <c r="G5" s="18"/>
      <c r="H5" s="18"/>
      <c r="I5" s="18"/>
    </row>
    <row r="6" ht="14.25" customHeight="1">
      <c r="C6" s="10"/>
      <c r="E6" s="20" t="s">
        <v>51</v>
      </c>
      <c r="K6" s="21" t="s">
        <v>52</v>
      </c>
    </row>
    <row r="7" ht="14.25" customHeight="1">
      <c r="B7" s="22" t="s">
        <v>53</v>
      </c>
      <c r="C7" s="23" t="s">
        <v>51</v>
      </c>
      <c r="D7" s="24">
        <v>45505.0</v>
      </c>
      <c r="E7" s="25" t="s">
        <v>54</v>
      </c>
      <c r="H7" s="26">
        <v>30.0</v>
      </c>
      <c r="K7" s="27" t="s">
        <v>55</v>
      </c>
    </row>
    <row r="8" ht="14.25" customHeight="1">
      <c r="B8" s="22" t="s">
        <v>56</v>
      </c>
      <c r="C8" s="28"/>
      <c r="D8" s="29">
        <f>EOMONTH(Start_Date,11)</f>
        <v>45869</v>
      </c>
      <c r="E8" s="25" t="s">
        <v>57</v>
      </c>
      <c r="H8" s="26">
        <v>60.0</v>
      </c>
      <c r="K8" s="27" t="s">
        <v>58</v>
      </c>
    </row>
    <row r="9" ht="14.25" customHeight="1">
      <c r="B9" s="22" t="s">
        <v>59</v>
      </c>
      <c r="C9" s="23" t="s">
        <v>51</v>
      </c>
      <c r="D9" s="30">
        <v>526994.0</v>
      </c>
      <c r="E9" s="25" t="s">
        <v>60</v>
      </c>
      <c r="H9" s="26">
        <v>60.0</v>
      </c>
      <c r="K9" s="27" t="s">
        <v>61</v>
      </c>
    </row>
    <row r="10" ht="14.25" customHeight="1">
      <c r="B10" s="22" t="s">
        <v>62</v>
      </c>
      <c r="C10" s="23" t="s">
        <v>51</v>
      </c>
      <c r="D10" s="31">
        <v>18.0</v>
      </c>
      <c r="E10" s="25" t="s">
        <v>63</v>
      </c>
      <c r="H10" s="32">
        <v>0.25</v>
      </c>
      <c r="K10" s="27" t="s">
        <v>64</v>
      </c>
    </row>
    <row r="11" ht="14.25" customHeight="1">
      <c r="B11" s="22" t="s">
        <v>65</v>
      </c>
      <c r="C11" s="23" t="s">
        <v>51</v>
      </c>
      <c r="D11" s="33">
        <v>0.3</v>
      </c>
      <c r="E11" s="25" t="s">
        <v>66</v>
      </c>
      <c r="H11" s="26">
        <v>9.0</v>
      </c>
      <c r="K11" s="27" t="s">
        <v>67</v>
      </c>
    </row>
    <row r="12" ht="14.25" customHeight="1">
      <c r="B12" s="22" t="s">
        <v>68</v>
      </c>
      <c r="C12" s="23" t="s">
        <v>51</v>
      </c>
      <c r="D12" s="33">
        <v>0.21</v>
      </c>
      <c r="K12" s="27" t="s">
        <v>69</v>
      </c>
    </row>
    <row r="13" ht="14.25" customHeight="1">
      <c r="B13" s="22" t="s">
        <v>17</v>
      </c>
      <c r="C13" s="23" t="s">
        <v>51</v>
      </c>
      <c r="D13" s="34">
        <v>5.0</v>
      </c>
      <c r="K13" s="27" t="s">
        <v>70</v>
      </c>
    </row>
    <row r="14" ht="14.25" customHeight="1">
      <c r="C14" s="10"/>
    </row>
    <row r="15" ht="14.25" customHeight="1">
      <c r="B15" s="35"/>
      <c r="C15" s="36"/>
      <c r="D15" s="35"/>
      <c r="E15" s="35"/>
      <c r="F15" s="35"/>
      <c r="G15" s="37"/>
      <c r="H15" s="37"/>
      <c r="I15" s="37"/>
      <c r="K15" s="35"/>
    </row>
    <row r="16" ht="14.25" customHeight="1">
      <c r="C16" s="10"/>
      <c r="G16" s="38"/>
      <c r="H16" s="38"/>
      <c r="I16" s="38"/>
    </row>
    <row r="17" ht="14.25" customHeight="1">
      <c r="C17" s="10"/>
      <c r="E17" s="14" t="str">
        <f>IF(MONTH(Fin_Year_End)=12,YEAR(Start_Date)+B$18,YEAR(Start_Date)+B$18&amp;"-"&amp;YEAR(Start_Date)+E$18)</f>
        <v>2024-2025</v>
      </c>
      <c r="F17" s="14" t="str">
        <f>IF(MONTH(Fin_Year_End)=12,YEAR(Start_Date)+E$18,YEAR(Start_Date)+E$18&amp;"-"&amp;YEAR(Start_Date)+F$18)</f>
        <v>2025-2026</v>
      </c>
      <c r="G17" s="14" t="str">
        <f>IF(MONTH(Fin_Year_End)=12,YEAR(Start_Date)+F$18,YEAR(Start_Date)+F$18&amp;"-"&amp;YEAR(Start_Date)+G$18)</f>
        <v>2026-2027</v>
      </c>
      <c r="H17" s="14" t="str">
        <f>IF(MONTH(Fin_Year_End)=12,YEAR(Start_Date)+G$18,YEAR(Start_Date)+G$18&amp;"-"&amp;YEAR(Start_Date)+H$18)</f>
        <v>2027-2028</v>
      </c>
      <c r="I17" s="14" t="str">
        <f>IF(MONTH(Fin_Year_End)=12,YEAR(Start_Date)+H$18,YEAR(Start_Date)+H$18&amp;"-"&amp;YEAR(Start_Date)+I$18)</f>
        <v>2028-2029</v>
      </c>
    </row>
    <row r="18" ht="14.25" hidden="1" customHeight="1">
      <c r="C18" s="10"/>
      <c r="E18" s="14">
        <v>1.0</v>
      </c>
      <c r="F18" s="14">
        <f t="shared" ref="F18:I18" si="1">E18+1</f>
        <v>2</v>
      </c>
      <c r="G18" s="14">
        <f t="shared" si="1"/>
        <v>3</v>
      </c>
      <c r="H18" s="14">
        <f t="shared" si="1"/>
        <v>4</v>
      </c>
      <c r="I18" s="14">
        <f t="shared" si="1"/>
        <v>5</v>
      </c>
    </row>
    <row r="19" ht="14.25" customHeight="1">
      <c r="B19" s="39"/>
      <c r="C19" s="40"/>
      <c r="D19" s="39"/>
      <c r="E19" s="41" t="s">
        <v>71</v>
      </c>
      <c r="F19" s="41" t="s">
        <v>72</v>
      </c>
      <c r="G19" s="41" t="s">
        <v>73</v>
      </c>
      <c r="H19" s="41" t="s">
        <v>74</v>
      </c>
      <c r="I19" s="41" t="s">
        <v>75</v>
      </c>
    </row>
    <row r="20" ht="14.25" customHeight="1">
      <c r="C20" s="10"/>
      <c r="D20" s="42"/>
    </row>
    <row r="21" ht="14.25" customHeight="1">
      <c r="B21" s="43" t="s">
        <v>76</v>
      </c>
      <c r="C21" s="44" t="s">
        <v>51</v>
      </c>
      <c r="D21" s="45" t="s">
        <v>77</v>
      </c>
      <c r="E21" s="46">
        <v>0.13</v>
      </c>
      <c r="F21" s="46">
        <v>0.13</v>
      </c>
      <c r="G21" s="46">
        <v>0.1</v>
      </c>
      <c r="H21" s="46">
        <v>0.08</v>
      </c>
      <c r="I21" s="46">
        <v>0.08</v>
      </c>
    </row>
    <row r="22" ht="7.5" customHeight="1">
      <c r="B22" s="47"/>
      <c r="C22" s="36"/>
      <c r="D22" s="48"/>
      <c r="E22" s="35"/>
      <c r="F22" s="35"/>
      <c r="G22" s="35"/>
      <c r="H22" s="35"/>
      <c r="I22" s="35"/>
    </row>
    <row r="23" ht="14.25" customHeight="1">
      <c r="B23" s="25"/>
      <c r="C23" s="10"/>
      <c r="D23" s="49"/>
    </row>
    <row r="24" ht="14.25" customHeight="1">
      <c r="B24" s="50" t="s">
        <v>78</v>
      </c>
      <c r="C24" s="44" t="s">
        <v>51</v>
      </c>
      <c r="D24" s="45" t="s">
        <v>79</v>
      </c>
      <c r="E24" s="46">
        <v>0.07</v>
      </c>
      <c r="F24" s="46">
        <v>0.07</v>
      </c>
      <c r="G24" s="46">
        <v>0.07</v>
      </c>
      <c r="H24" s="46">
        <v>0.07</v>
      </c>
      <c r="I24" s="46">
        <v>0.07</v>
      </c>
    </row>
    <row r="25" ht="14.25" customHeight="1">
      <c r="B25" s="51"/>
      <c r="C25" s="52"/>
      <c r="D25" s="45" t="s">
        <v>80</v>
      </c>
      <c r="E25" s="46">
        <v>0.0</v>
      </c>
      <c r="F25" s="46">
        <v>0.0</v>
      </c>
      <c r="G25" s="46">
        <v>0.0</v>
      </c>
      <c r="H25" s="46">
        <v>0.0</v>
      </c>
      <c r="I25" s="46">
        <v>0.0</v>
      </c>
    </row>
    <row r="26" ht="7.5" customHeight="1">
      <c r="B26" s="47"/>
      <c r="C26" s="36"/>
      <c r="D26" s="48"/>
      <c r="E26" s="35"/>
      <c r="F26" s="35"/>
      <c r="G26" s="35"/>
      <c r="H26" s="35"/>
      <c r="I26" s="35"/>
    </row>
    <row r="27" ht="14.25" customHeight="1">
      <c r="B27" s="25"/>
      <c r="C27" s="10"/>
      <c r="D27" s="53"/>
    </row>
    <row r="28" ht="14.25" customHeight="1">
      <c r="B28" s="50" t="s">
        <v>81</v>
      </c>
      <c r="C28" s="44" t="s">
        <v>51</v>
      </c>
      <c r="D28" s="45" t="s">
        <v>82</v>
      </c>
      <c r="E28" s="46">
        <v>0.32</v>
      </c>
      <c r="F28" s="46">
        <v>0.32</v>
      </c>
      <c r="G28" s="46">
        <v>0.32</v>
      </c>
      <c r="H28" s="46">
        <v>0.32</v>
      </c>
      <c r="I28" s="46">
        <v>0.32</v>
      </c>
    </row>
    <row r="29" ht="14.25" customHeight="1">
      <c r="B29" s="51"/>
      <c r="C29" s="44" t="s">
        <v>51</v>
      </c>
      <c r="D29" s="45" t="s">
        <v>83</v>
      </c>
      <c r="E29" s="46">
        <v>0.15</v>
      </c>
      <c r="F29" s="46">
        <v>0.15</v>
      </c>
      <c r="G29" s="46">
        <v>0.15</v>
      </c>
      <c r="H29" s="46">
        <v>0.15</v>
      </c>
      <c r="I29" s="46">
        <v>0.15</v>
      </c>
    </row>
    <row r="30" ht="14.25" customHeight="1">
      <c r="B30" s="51"/>
      <c r="C30" s="44" t="s">
        <v>51</v>
      </c>
      <c r="D30" s="45" t="s">
        <v>84</v>
      </c>
      <c r="E30" s="54">
        <v>40000.0</v>
      </c>
      <c r="F30" s="54">
        <f t="shared" ref="F30:I30" si="2">E30*1.03</f>
        <v>41200</v>
      </c>
      <c r="G30" s="54">
        <f t="shared" si="2"/>
        <v>42436</v>
      </c>
      <c r="H30" s="54">
        <f t="shared" si="2"/>
        <v>43709.08</v>
      </c>
      <c r="I30" s="54">
        <f t="shared" si="2"/>
        <v>45020.3524</v>
      </c>
    </row>
    <row r="31" ht="14.25" customHeight="1">
      <c r="B31" s="51"/>
      <c r="C31" s="55" t="s">
        <v>51</v>
      </c>
      <c r="D31" s="45" t="s">
        <v>85</v>
      </c>
      <c r="E31" s="46">
        <v>0.05</v>
      </c>
      <c r="F31" s="46">
        <v>0.04000000000000001</v>
      </c>
      <c r="G31" s="46">
        <v>0.02</v>
      </c>
      <c r="H31" s="46">
        <v>0.02</v>
      </c>
      <c r="I31" s="46">
        <v>0.02</v>
      </c>
    </row>
    <row r="32" ht="14.25" customHeight="1">
      <c r="B32" s="51"/>
      <c r="C32" s="44" t="s">
        <v>51</v>
      </c>
      <c r="D32" s="45" t="s">
        <v>86</v>
      </c>
      <c r="E32" s="54">
        <v>0.0</v>
      </c>
      <c r="F32" s="54">
        <f>'P&amp;L Statement'!F20/3</f>
        <v>78437.59349</v>
      </c>
      <c r="G32" s="54">
        <f>'P&amp;L Statement'!G20/3</f>
        <v>91017.43299</v>
      </c>
      <c r="H32" s="54">
        <f>'P&amp;L Statement'!H20/3</f>
        <v>99458.12802</v>
      </c>
      <c r="I32" s="54">
        <f>'P&amp;L Statement'!I20/3</f>
        <v>107713.1036</v>
      </c>
    </row>
    <row r="33" ht="14.25" customHeight="1">
      <c r="B33" s="51"/>
      <c r="C33" s="44" t="s">
        <v>51</v>
      </c>
      <c r="D33" s="56" t="s">
        <v>87</v>
      </c>
      <c r="E33" s="57">
        <v>0.2</v>
      </c>
      <c r="F33" s="57">
        <v>0.2</v>
      </c>
      <c r="G33" s="57">
        <v>0.2</v>
      </c>
      <c r="H33" s="57">
        <v>0.2</v>
      </c>
      <c r="I33" s="57">
        <v>0.2</v>
      </c>
    </row>
    <row r="34" ht="14.25" customHeight="1">
      <c r="B34" s="51"/>
      <c r="C34" s="55" t="s">
        <v>51</v>
      </c>
      <c r="D34" s="45" t="s">
        <v>88</v>
      </c>
      <c r="E34" s="46">
        <v>0.03</v>
      </c>
      <c r="F34" s="46">
        <v>0.03</v>
      </c>
      <c r="G34" s="46">
        <v>0.03</v>
      </c>
      <c r="H34" s="46">
        <v>0.03</v>
      </c>
      <c r="I34" s="46">
        <v>0.03</v>
      </c>
    </row>
    <row r="35" ht="7.5" customHeight="1">
      <c r="B35" s="47"/>
      <c r="C35" s="36"/>
      <c r="D35" s="48"/>
      <c r="E35" s="35"/>
      <c r="F35" s="35"/>
      <c r="G35" s="35"/>
      <c r="H35" s="35"/>
      <c r="I35" s="35"/>
    </row>
    <row r="36" ht="14.25" customHeight="1">
      <c r="B36" s="25"/>
      <c r="C36" s="10"/>
      <c r="D36" s="53"/>
    </row>
    <row r="37" ht="14.25" customHeight="1">
      <c r="B37" s="50" t="s">
        <v>89</v>
      </c>
      <c r="C37" s="10"/>
      <c r="D37" s="58" t="s">
        <v>90</v>
      </c>
      <c r="E37" s="46">
        <v>0.15</v>
      </c>
      <c r="F37" s="46">
        <v>0.15</v>
      </c>
      <c r="G37" s="46">
        <v>0.15</v>
      </c>
      <c r="H37" s="46">
        <v>0.15</v>
      </c>
      <c r="I37" s="46">
        <v>0.15</v>
      </c>
    </row>
    <row r="38" ht="14.25" customHeight="1">
      <c r="B38" s="51"/>
      <c r="C38" s="55" t="s">
        <v>51</v>
      </c>
      <c r="D38" s="59" t="s">
        <v>14</v>
      </c>
      <c r="E38" s="60">
        <v>55000.0</v>
      </c>
      <c r="F38" s="60">
        <v>0.0</v>
      </c>
      <c r="G38" s="60">
        <v>0.0</v>
      </c>
      <c r="H38" s="60">
        <v>0.0</v>
      </c>
      <c r="I38" s="60">
        <v>0.0</v>
      </c>
    </row>
    <row r="39" ht="7.5" customHeight="1">
      <c r="B39" s="47"/>
      <c r="C39" s="36"/>
      <c r="D39" s="48"/>
      <c r="E39" s="35"/>
      <c r="F39" s="35"/>
      <c r="G39" s="35"/>
      <c r="H39" s="35"/>
      <c r="I39" s="35"/>
    </row>
    <row r="40" ht="14.25" customHeight="1">
      <c r="B40" s="25"/>
      <c r="C40" s="10"/>
      <c r="D40" s="53"/>
    </row>
    <row r="41" ht="14.25" customHeight="1">
      <c r="B41" s="50" t="s">
        <v>91</v>
      </c>
      <c r="C41" s="61" t="s">
        <v>51</v>
      </c>
      <c r="D41" s="45" t="s">
        <v>92</v>
      </c>
      <c r="E41" s="54">
        <f>+AVERAGE(151350,447150)</f>
        <v>299250</v>
      </c>
      <c r="F41" s="54"/>
      <c r="G41" s="54"/>
      <c r="H41" s="54"/>
      <c r="I41" s="54"/>
    </row>
    <row r="42" ht="14.25" customHeight="1">
      <c r="B42" s="51"/>
      <c r="C42" s="44"/>
      <c r="D42" s="45" t="s">
        <v>93</v>
      </c>
      <c r="E42" s="54">
        <f>32000+AVERAGE(9650,22000)+22500+2500+AVERAGE(5000,30000)+AVERAGE(50000,125000)</f>
        <v>177825</v>
      </c>
      <c r="F42" s="54"/>
      <c r="G42" s="54"/>
      <c r="H42" s="54"/>
      <c r="I42" s="54"/>
      <c r="K42" s="62"/>
    </row>
    <row r="43" ht="14.25" customHeight="1">
      <c r="B43" s="51"/>
      <c r="C43" s="63"/>
      <c r="D43" s="45" t="s">
        <v>94</v>
      </c>
      <c r="E43" s="54">
        <f>E41-E42-E44</f>
        <v>93675</v>
      </c>
      <c r="F43" s="54"/>
      <c r="G43" s="54"/>
      <c r="H43" s="54"/>
      <c r="I43" s="54"/>
      <c r="K43" s="62"/>
    </row>
    <row r="44" ht="14.25" customHeight="1">
      <c r="B44" s="50"/>
      <c r="C44" s="63"/>
      <c r="D44" s="45" t="s">
        <v>95</v>
      </c>
      <c r="E44" s="54">
        <f>+AVERAGE(18500,37000)</f>
        <v>27750</v>
      </c>
      <c r="F44" s="54"/>
      <c r="G44" s="54"/>
      <c r="H44" s="54"/>
      <c r="I44" s="54"/>
      <c r="K44" s="62"/>
    </row>
    <row r="45" ht="14.25" customHeight="1">
      <c r="B45" s="64"/>
      <c r="C45" s="63"/>
      <c r="D45" s="65" t="s">
        <v>96</v>
      </c>
      <c r="E45" s="66">
        <f t="shared" ref="E45:I45" si="3">E41-SUM(E42:E44)</f>
        <v>0</v>
      </c>
      <c r="F45" s="66">
        <f t="shared" si="3"/>
        <v>0</v>
      </c>
      <c r="G45" s="66">
        <f t="shared" si="3"/>
        <v>0</v>
      </c>
      <c r="H45" s="66">
        <f t="shared" si="3"/>
        <v>0</v>
      </c>
      <c r="I45" s="66">
        <f t="shared" si="3"/>
        <v>0</v>
      </c>
      <c r="K45" s="62"/>
    </row>
    <row r="46" ht="7.5" customHeight="1">
      <c r="B46" s="47"/>
      <c r="C46" s="36"/>
      <c r="D46" s="48"/>
      <c r="E46" s="35"/>
      <c r="F46" s="35"/>
      <c r="G46" s="35"/>
      <c r="H46" s="35"/>
      <c r="I46" s="35"/>
    </row>
    <row r="47" ht="14.25" customHeight="1">
      <c r="C47" s="10"/>
      <c r="D47" s="53"/>
    </row>
    <row r="48" ht="14.25" customHeight="1">
      <c r="B48" s="50" t="s">
        <v>97</v>
      </c>
      <c r="C48" s="44" t="s">
        <v>51</v>
      </c>
      <c r="D48" s="58" t="s">
        <v>98</v>
      </c>
      <c r="E48" s="54">
        <f>E41*0.2</f>
        <v>59850</v>
      </c>
      <c r="F48" s="54"/>
      <c r="G48" s="54"/>
      <c r="H48" s="54"/>
      <c r="I48" s="54"/>
    </row>
    <row r="49" ht="14.25" customHeight="1">
      <c r="B49" s="51"/>
      <c r="C49" s="52"/>
      <c r="D49" s="58" t="s">
        <v>99</v>
      </c>
      <c r="E49" s="54">
        <f>E41*0.8</f>
        <v>239400</v>
      </c>
      <c r="F49" s="54"/>
      <c r="G49" s="54"/>
      <c r="H49" s="54"/>
      <c r="I49" s="54"/>
    </row>
    <row r="50" ht="14.25" customHeight="1">
      <c r="B50" s="51"/>
      <c r="C50" s="52"/>
      <c r="D50" s="58" t="s">
        <v>100</v>
      </c>
      <c r="E50" s="26">
        <f>12*12</f>
        <v>144</v>
      </c>
      <c r="F50" s="26"/>
      <c r="G50" s="26"/>
      <c r="H50" s="26"/>
      <c r="I50" s="26"/>
    </row>
    <row r="51" ht="14.25" customHeight="1">
      <c r="B51" s="51"/>
      <c r="C51" s="52"/>
      <c r="D51" s="58" t="s">
        <v>101</v>
      </c>
      <c r="E51" s="32">
        <v>0.105</v>
      </c>
      <c r="F51" s="32"/>
      <c r="G51" s="32"/>
      <c r="H51" s="32"/>
      <c r="I51" s="32"/>
    </row>
    <row r="52" ht="14.25" customHeight="1">
      <c r="A52" s="4"/>
      <c r="B52" s="64"/>
      <c r="C52" s="52"/>
      <c r="D52" s="67" t="s">
        <v>102</v>
      </c>
      <c r="E52" s="68">
        <f>SUM(E48:E49)-E41</f>
        <v>0</v>
      </c>
      <c r="F52" s="69"/>
      <c r="G52" s="69"/>
      <c r="H52" s="4"/>
      <c r="I52" s="4"/>
      <c r="J52" s="4"/>
      <c r="K52" s="4"/>
      <c r="L52" s="4"/>
      <c r="M52" s="4"/>
      <c r="N52" s="4"/>
      <c r="O52" s="4"/>
      <c r="P52" s="4"/>
      <c r="Q52" s="4"/>
      <c r="R52" s="4"/>
      <c r="S52" s="4"/>
      <c r="T52" s="4"/>
      <c r="U52" s="4"/>
      <c r="V52" s="4"/>
      <c r="W52" s="4"/>
      <c r="X52" s="4"/>
      <c r="Y52" s="4"/>
      <c r="Z52" s="4"/>
    </row>
    <row r="53" ht="7.5" customHeight="1">
      <c r="B53" s="35"/>
      <c r="C53" s="36"/>
      <c r="D53" s="35"/>
      <c r="E53" s="35"/>
      <c r="F53" s="35"/>
      <c r="G53" s="35"/>
      <c r="H53" s="35"/>
      <c r="I53" s="35"/>
    </row>
    <row r="54" ht="14.25" customHeight="1">
      <c r="C54" s="10"/>
    </row>
    <row r="55" ht="14.25" customHeight="1">
      <c r="A55" s="4"/>
      <c r="B55" s="70" t="s">
        <v>103</v>
      </c>
      <c r="C55" s="44" t="s">
        <v>51</v>
      </c>
      <c r="D55" s="58" t="s">
        <v>104</v>
      </c>
      <c r="E55" s="60">
        <v>0.0</v>
      </c>
      <c r="F55" s="60">
        <v>0.0</v>
      </c>
      <c r="G55" s="60">
        <v>0.0</v>
      </c>
      <c r="H55" s="60">
        <v>0.0</v>
      </c>
      <c r="I55" s="60">
        <v>0.0</v>
      </c>
      <c r="J55" s="4"/>
      <c r="K55" s="4"/>
      <c r="L55" s="4"/>
      <c r="M55" s="4"/>
      <c r="N55" s="4"/>
      <c r="O55" s="4"/>
      <c r="P55" s="4"/>
      <c r="Q55" s="4"/>
      <c r="R55" s="4"/>
      <c r="S55" s="4"/>
      <c r="T55" s="4"/>
      <c r="U55" s="4"/>
      <c r="V55" s="4"/>
      <c r="W55" s="4"/>
      <c r="X55" s="4"/>
      <c r="Y55" s="4"/>
      <c r="Z55" s="4"/>
    </row>
    <row r="56" ht="7.5" customHeight="1">
      <c r="B56" s="47"/>
      <c r="C56" s="36"/>
      <c r="D56" s="48"/>
      <c r="E56" s="35"/>
      <c r="F56" s="35"/>
      <c r="G56" s="35"/>
      <c r="H56" s="35"/>
      <c r="I56" s="35"/>
    </row>
    <row r="57" ht="14.25" customHeight="1">
      <c r="C57" s="10"/>
    </row>
    <row r="58" ht="14.25" customHeight="1">
      <c r="C58" s="55"/>
    </row>
    <row r="59" ht="14.25" customHeight="1">
      <c r="C59" s="10"/>
    </row>
    <row r="60" ht="14.25" customHeight="1">
      <c r="C60" s="10"/>
    </row>
    <row r="61" ht="14.25" customHeight="1">
      <c r="C61" s="10"/>
    </row>
    <row r="62" ht="14.25" customHeight="1">
      <c r="C62" s="10"/>
    </row>
    <row r="63" ht="14.25" customHeight="1">
      <c r="C63" s="10"/>
    </row>
    <row r="64" ht="14.25" customHeight="1">
      <c r="C64" s="10"/>
    </row>
    <row r="65" ht="14.25" customHeight="1">
      <c r="C65" s="10"/>
    </row>
    <row r="66" ht="14.25" customHeight="1">
      <c r="C66" s="10"/>
    </row>
    <row r="67" ht="14.25" customHeight="1">
      <c r="C67" s="10"/>
    </row>
    <row r="68" ht="14.25" customHeight="1">
      <c r="C68" s="10"/>
    </row>
    <row r="69" ht="14.25" customHeight="1">
      <c r="C69" s="10"/>
    </row>
    <row r="70" ht="14.25" customHeight="1">
      <c r="C70" s="10"/>
    </row>
    <row r="71" ht="14.25" customHeight="1">
      <c r="C71" s="10"/>
    </row>
    <row r="72" ht="14.25" customHeight="1">
      <c r="C72" s="10"/>
    </row>
    <row r="73" ht="14.25" customHeight="1">
      <c r="C73" s="10"/>
    </row>
    <row r="74" ht="14.25" customHeight="1">
      <c r="C74" s="10"/>
    </row>
    <row r="75" ht="14.25" customHeight="1">
      <c r="C75" s="10"/>
    </row>
    <row r="76" ht="14.25" customHeight="1">
      <c r="C76" s="10"/>
    </row>
    <row r="77" ht="14.25" customHeight="1">
      <c r="C77" s="10"/>
    </row>
    <row r="78" ht="14.25" customHeight="1">
      <c r="C78" s="10"/>
    </row>
    <row r="79" ht="14.25" customHeight="1">
      <c r="C79" s="10"/>
    </row>
    <row r="80" ht="14.25" customHeight="1">
      <c r="C80" s="10"/>
    </row>
    <row r="81" ht="14.25" customHeight="1">
      <c r="C81" s="10"/>
    </row>
    <row r="82" ht="14.25" customHeight="1">
      <c r="C82" s="10"/>
    </row>
    <row r="83" ht="14.25" customHeight="1">
      <c r="C83" s="10"/>
    </row>
    <row r="84" ht="14.25" customHeight="1">
      <c r="C84" s="10"/>
    </row>
    <row r="85" ht="14.25" customHeight="1">
      <c r="C85" s="10"/>
    </row>
    <row r="86" ht="14.25" customHeight="1">
      <c r="C86" s="10"/>
    </row>
    <row r="87" ht="14.25" customHeight="1">
      <c r="C87" s="10"/>
    </row>
    <row r="88" ht="14.25" customHeight="1">
      <c r="C88" s="10"/>
    </row>
    <row r="89" ht="14.25" customHeight="1">
      <c r="C89" s="10"/>
    </row>
    <row r="90" ht="14.25" customHeight="1">
      <c r="C90" s="10"/>
    </row>
    <row r="91" ht="14.25" customHeight="1">
      <c r="C91" s="10"/>
    </row>
    <row r="92" ht="14.25" customHeight="1">
      <c r="C92" s="10"/>
    </row>
    <row r="93" ht="14.25" customHeight="1">
      <c r="C93" s="10"/>
    </row>
    <row r="94" ht="14.25" customHeight="1">
      <c r="C94" s="10"/>
    </row>
    <row r="95" ht="14.25" customHeight="1">
      <c r="C95" s="10"/>
    </row>
    <row r="96" ht="14.25" customHeight="1">
      <c r="C96" s="10"/>
    </row>
    <row r="97" ht="14.25" customHeight="1">
      <c r="C97" s="10"/>
    </row>
    <row r="98" ht="14.25" customHeight="1">
      <c r="C98" s="10"/>
    </row>
    <row r="99" ht="14.25" customHeight="1">
      <c r="C99" s="10"/>
    </row>
    <row r="100" ht="14.25" customHeight="1">
      <c r="C100" s="10"/>
    </row>
    <row r="101" ht="14.25" customHeight="1">
      <c r="C101" s="10"/>
    </row>
    <row r="102" ht="14.25" customHeight="1">
      <c r="C102" s="10"/>
    </row>
    <row r="103" ht="14.25" customHeight="1">
      <c r="C103" s="10"/>
    </row>
    <row r="104" ht="14.25" customHeight="1">
      <c r="C104" s="10"/>
    </row>
    <row r="105" ht="14.25" customHeight="1">
      <c r="C105" s="10"/>
    </row>
    <row r="106" ht="14.25" customHeight="1">
      <c r="C106" s="10"/>
    </row>
    <row r="107" ht="14.25" customHeight="1">
      <c r="C107" s="10"/>
    </row>
    <row r="108" ht="14.25" customHeight="1">
      <c r="C108" s="10"/>
    </row>
    <row r="109" ht="14.25" customHeight="1">
      <c r="C109" s="10"/>
    </row>
    <row r="110" ht="14.25" customHeight="1">
      <c r="C110" s="10"/>
    </row>
    <row r="111" ht="14.25" customHeight="1">
      <c r="C111" s="10"/>
    </row>
    <row r="112" ht="14.25" customHeight="1">
      <c r="C112" s="10"/>
    </row>
    <row r="113" ht="14.25" customHeight="1">
      <c r="C113" s="10"/>
    </row>
    <row r="114" ht="14.25" customHeight="1">
      <c r="C114" s="10"/>
    </row>
    <row r="115" ht="14.25" customHeight="1">
      <c r="C115" s="10"/>
    </row>
    <row r="116" ht="14.25" customHeight="1">
      <c r="C116" s="10"/>
    </row>
    <row r="117" ht="14.25" customHeight="1">
      <c r="C117" s="10"/>
    </row>
    <row r="118" ht="14.25" customHeight="1">
      <c r="C118" s="10"/>
    </row>
    <row r="119" ht="14.25" customHeight="1">
      <c r="C119" s="10"/>
    </row>
    <row r="120" ht="14.25" customHeight="1">
      <c r="C120" s="10"/>
    </row>
    <row r="121" ht="14.25" customHeight="1">
      <c r="C121" s="10"/>
    </row>
    <row r="122" ht="14.25" customHeight="1">
      <c r="C122" s="10"/>
    </row>
    <row r="123" ht="14.25" customHeight="1">
      <c r="C123" s="10"/>
    </row>
    <row r="124" ht="14.25" customHeight="1">
      <c r="C124" s="10"/>
    </row>
    <row r="125" ht="14.25" customHeight="1">
      <c r="C125" s="10"/>
    </row>
    <row r="126" ht="14.25" customHeight="1">
      <c r="C126" s="10"/>
    </row>
    <row r="127" ht="14.25" customHeight="1">
      <c r="C127" s="10"/>
    </row>
    <row r="128" ht="14.25" customHeight="1">
      <c r="C128" s="10"/>
    </row>
    <row r="129" ht="14.25" customHeight="1">
      <c r="C129" s="10"/>
    </row>
    <row r="130" ht="14.25" customHeight="1">
      <c r="C130" s="10"/>
    </row>
    <row r="131" ht="14.25" customHeight="1">
      <c r="C131" s="10"/>
    </row>
    <row r="132" ht="14.25" customHeight="1">
      <c r="C132" s="10"/>
    </row>
    <row r="133" ht="14.25" customHeight="1">
      <c r="C133" s="10"/>
    </row>
    <row r="134" ht="14.25" customHeight="1">
      <c r="C134" s="10"/>
    </row>
    <row r="135" ht="14.25" customHeight="1">
      <c r="C135" s="10"/>
    </row>
    <row r="136" ht="14.25" customHeight="1">
      <c r="C136" s="10"/>
    </row>
    <row r="137" ht="14.25" customHeight="1">
      <c r="C137" s="10"/>
    </row>
    <row r="138" ht="14.25" customHeight="1">
      <c r="C138" s="10"/>
    </row>
    <row r="139" ht="14.25" customHeight="1">
      <c r="C139" s="10"/>
    </row>
    <row r="140" ht="14.25" customHeight="1">
      <c r="C140" s="10"/>
    </row>
    <row r="141" ht="14.25" customHeight="1">
      <c r="C141" s="10"/>
    </row>
    <row r="142" ht="14.25" customHeight="1">
      <c r="C142" s="10"/>
    </row>
    <row r="143" ht="14.25" customHeight="1">
      <c r="C143" s="10"/>
    </row>
    <row r="144" ht="14.25" customHeight="1">
      <c r="C144" s="10"/>
    </row>
    <row r="145" ht="14.25" customHeight="1">
      <c r="C145" s="10"/>
    </row>
    <row r="146" ht="14.25" customHeight="1">
      <c r="C146" s="10"/>
    </row>
    <row r="147" ht="14.25" customHeight="1">
      <c r="C147" s="10"/>
    </row>
    <row r="148" ht="14.25" customHeight="1">
      <c r="C148" s="10"/>
    </row>
    <row r="149" ht="14.25" customHeight="1">
      <c r="C149" s="10"/>
    </row>
    <row r="150" ht="14.25" customHeight="1">
      <c r="C150" s="10"/>
    </row>
    <row r="151" ht="14.25" customHeight="1">
      <c r="C151" s="10"/>
    </row>
    <row r="152" ht="14.25" customHeight="1">
      <c r="C152" s="10"/>
    </row>
    <row r="153" ht="14.25" customHeight="1">
      <c r="C153" s="10"/>
    </row>
    <row r="154" ht="14.25" customHeight="1">
      <c r="C154" s="10"/>
    </row>
    <row r="155" ht="14.25" customHeight="1">
      <c r="C155" s="10"/>
    </row>
    <row r="156" ht="14.25" customHeight="1">
      <c r="C156" s="10"/>
    </row>
    <row r="157" ht="14.25" customHeight="1">
      <c r="C157" s="10"/>
    </row>
    <row r="158" ht="14.25" customHeight="1">
      <c r="C158" s="10"/>
    </row>
    <row r="159" ht="14.25" customHeight="1">
      <c r="C159" s="10"/>
    </row>
    <row r="160" ht="14.25" customHeight="1">
      <c r="C160" s="10"/>
    </row>
    <row r="161" ht="14.25" customHeight="1">
      <c r="C161" s="10"/>
    </row>
    <row r="162" ht="14.25" customHeight="1">
      <c r="C162" s="10"/>
    </row>
    <row r="163" ht="14.25" customHeight="1">
      <c r="C163" s="10"/>
    </row>
    <row r="164" ht="14.25" customHeight="1">
      <c r="C164" s="10"/>
    </row>
    <row r="165" ht="14.25" customHeight="1">
      <c r="C165" s="10"/>
    </row>
    <row r="166" ht="14.25" customHeight="1">
      <c r="C166" s="10"/>
    </row>
    <row r="167" ht="14.25" customHeight="1">
      <c r="C167" s="10"/>
    </row>
    <row r="168" ht="14.25" customHeight="1">
      <c r="C168" s="10"/>
    </row>
    <row r="169" ht="14.25" customHeight="1">
      <c r="C169" s="10"/>
    </row>
    <row r="170" ht="14.25" customHeight="1">
      <c r="C170" s="10"/>
    </row>
    <row r="171" ht="14.25" customHeight="1">
      <c r="C171" s="10"/>
    </row>
    <row r="172" ht="14.25" customHeight="1">
      <c r="C172" s="10"/>
    </row>
    <row r="173" ht="14.25" customHeight="1">
      <c r="C173" s="10"/>
    </row>
    <row r="174" ht="14.25" customHeight="1">
      <c r="C174" s="10"/>
    </row>
    <row r="175" ht="14.25" customHeight="1">
      <c r="C175" s="10"/>
    </row>
    <row r="176" ht="14.25" customHeight="1">
      <c r="C176" s="10"/>
    </row>
    <row r="177" ht="14.25" customHeight="1">
      <c r="C177" s="10"/>
    </row>
    <row r="178" ht="14.25" customHeight="1">
      <c r="C178" s="10"/>
    </row>
    <row r="179" ht="14.25" customHeight="1">
      <c r="C179" s="10"/>
    </row>
    <row r="180" ht="14.25" customHeight="1">
      <c r="C180" s="10"/>
    </row>
    <row r="181" ht="14.25" customHeight="1">
      <c r="C181" s="10"/>
    </row>
    <row r="182" ht="14.25" customHeight="1">
      <c r="C182" s="10"/>
    </row>
    <row r="183" ht="14.25" customHeight="1">
      <c r="C183" s="10"/>
    </row>
    <row r="184" ht="14.25" customHeight="1">
      <c r="C184" s="10"/>
    </row>
    <row r="185" ht="14.25" customHeight="1">
      <c r="C185" s="10"/>
    </row>
    <row r="186" ht="14.25" customHeight="1">
      <c r="C186" s="10"/>
    </row>
    <row r="187" ht="14.25" customHeight="1">
      <c r="C187" s="10"/>
    </row>
    <row r="188" ht="14.25" customHeight="1">
      <c r="C188" s="10"/>
    </row>
    <row r="189" ht="14.25" customHeight="1">
      <c r="C189" s="10"/>
    </row>
    <row r="190" ht="14.25" customHeight="1">
      <c r="C190" s="10"/>
    </row>
    <row r="191" ht="14.25" customHeight="1">
      <c r="C191" s="10"/>
    </row>
    <row r="192" ht="14.25" customHeight="1">
      <c r="C192" s="10"/>
    </row>
    <row r="193" ht="14.25" customHeight="1">
      <c r="C193" s="10"/>
    </row>
    <row r="194" ht="14.25" customHeight="1">
      <c r="C194" s="10"/>
    </row>
    <row r="195" ht="14.25" customHeight="1">
      <c r="C195" s="10"/>
    </row>
    <row r="196" ht="14.25" customHeight="1">
      <c r="C196" s="10"/>
    </row>
    <row r="197" ht="14.25" customHeight="1">
      <c r="C197" s="10"/>
    </row>
    <row r="198" ht="14.25" customHeight="1">
      <c r="C198" s="10"/>
    </row>
    <row r="199" ht="14.25" customHeight="1">
      <c r="C199" s="10"/>
    </row>
    <row r="200" ht="14.25" customHeight="1">
      <c r="C200" s="10"/>
    </row>
    <row r="201" ht="14.25" customHeight="1">
      <c r="C201" s="10"/>
    </row>
    <row r="202" ht="14.25" customHeight="1">
      <c r="C202" s="10"/>
    </row>
    <row r="203" ht="14.25" customHeight="1">
      <c r="C203" s="10"/>
    </row>
    <row r="204" ht="14.25" customHeight="1">
      <c r="C204" s="10"/>
    </row>
    <row r="205" ht="14.25" customHeight="1">
      <c r="C205" s="10"/>
    </row>
    <row r="206" ht="14.25" customHeight="1">
      <c r="C206" s="10"/>
    </row>
    <row r="207" ht="14.25" customHeight="1">
      <c r="C207" s="10"/>
    </row>
    <row r="208" ht="14.25" customHeight="1">
      <c r="C208" s="10"/>
    </row>
    <row r="209" ht="14.25" customHeight="1">
      <c r="C209" s="10"/>
    </row>
    <row r="210" ht="14.25" customHeight="1">
      <c r="C210" s="10"/>
    </row>
    <row r="211" ht="14.25" customHeight="1">
      <c r="C211" s="10"/>
    </row>
    <row r="212" ht="14.25" customHeight="1">
      <c r="C212" s="10"/>
    </row>
    <row r="213" ht="14.25" customHeight="1">
      <c r="C213" s="10"/>
    </row>
    <row r="214" ht="14.25" customHeight="1">
      <c r="C214" s="10"/>
    </row>
    <row r="215" ht="14.25" customHeight="1">
      <c r="C215" s="10"/>
    </row>
    <row r="216" ht="14.25" customHeight="1">
      <c r="C216" s="10"/>
    </row>
    <row r="217" ht="14.25" customHeight="1">
      <c r="C217" s="10"/>
    </row>
    <row r="218" ht="14.25" customHeight="1">
      <c r="C218" s="10"/>
    </row>
    <row r="219" ht="14.25" customHeight="1">
      <c r="C219" s="10"/>
    </row>
    <row r="220" ht="14.25" customHeight="1">
      <c r="C220" s="10"/>
    </row>
    <row r="221" ht="14.25" customHeight="1">
      <c r="C221" s="10"/>
    </row>
    <row r="222" ht="14.25" customHeight="1">
      <c r="C222" s="10"/>
    </row>
    <row r="223" ht="14.25" customHeight="1">
      <c r="C223" s="10"/>
    </row>
    <row r="224" ht="14.25" customHeight="1">
      <c r="C224" s="10"/>
    </row>
    <row r="225" ht="14.25" customHeight="1">
      <c r="C225" s="10"/>
    </row>
    <row r="226" ht="14.25" customHeight="1">
      <c r="C226" s="10"/>
    </row>
    <row r="227" ht="14.25" customHeight="1">
      <c r="C227" s="10"/>
    </row>
    <row r="228" ht="14.25" customHeight="1">
      <c r="C228" s="10"/>
    </row>
    <row r="229" ht="14.25" customHeight="1">
      <c r="C229" s="10"/>
    </row>
    <row r="230" ht="14.25" customHeight="1">
      <c r="C230" s="10"/>
    </row>
    <row r="231" ht="14.25" customHeight="1">
      <c r="C231" s="10"/>
    </row>
    <row r="232" ht="14.25" customHeight="1">
      <c r="C232" s="10"/>
    </row>
    <row r="233" ht="14.25" customHeight="1">
      <c r="C233" s="10"/>
    </row>
    <row r="234" ht="14.25" customHeight="1">
      <c r="C234" s="10"/>
    </row>
    <row r="235" ht="14.25" customHeight="1">
      <c r="C235" s="10"/>
    </row>
    <row r="236" ht="14.25" customHeight="1">
      <c r="C236" s="10"/>
    </row>
    <row r="237" ht="14.25" customHeight="1">
      <c r="C237" s="10"/>
    </row>
    <row r="238" ht="14.25" customHeight="1">
      <c r="C238" s="10"/>
    </row>
    <row r="239" ht="14.25" customHeight="1">
      <c r="C239" s="10"/>
    </row>
    <row r="240" ht="14.25" customHeight="1">
      <c r="C240" s="10"/>
    </row>
    <row r="241" ht="14.25" customHeight="1">
      <c r="C241" s="10"/>
    </row>
    <row r="242" ht="14.25" customHeight="1">
      <c r="C242" s="10"/>
    </row>
    <row r="243" ht="14.25" customHeight="1">
      <c r="C243" s="10"/>
    </row>
    <row r="244" ht="14.25" customHeight="1">
      <c r="C244" s="10"/>
    </row>
    <row r="245" ht="14.25" customHeight="1">
      <c r="C245" s="10"/>
    </row>
    <row r="246" ht="14.25" customHeight="1">
      <c r="C246" s="10"/>
    </row>
    <row r="247" ht="14.25" customHeight="1">
      <c r="C247" s="10"/>
    </row>
    <row r="248" ht="14.25" customHeight="1">
      <c r="C248" s="10"/>
    </row>
    <row r="249" ht="14.25" customHeight="1">
      <c r="C249" s="10"/>
    </row>
    <row r="250" ht="14.25" customHeight="1">
      <c r="C250" s="10"/>
    </row>
    <row r="251" ht="14.25" customHeight="1">
      <c r="C251" s="10"/>
    </row>
    <row r="252" ht="14.25" customHeight="1">
      <c r="C252" s="10"/>
    </row>
    <row r="253" ht="14.25" customHeight="1">
      <c r="C253" s="10"/>
    </row>
    <row r="254" ht="14.25" customHeight="1">
      <c r="C254" s="10"/>
    </row>
    <row r="255" ht="14.25" customHeight="1">
      <c r="C255" s="10"/>
    </row>
    <row r="256" ht="14.25" customHeight="1">
      <c r="C256" s="10"/>
    </row>
    <row r="257" ht="14.25" customHeight="1">
      <c r="C257" s="10"/>
    </row>
    <row r="258" ht="14.25" customHeight="1">
      <c r="C258" s="10"/>
    </row>
    <row r="259" ht="14.25" customHeight="1">
      <c r="C259" s="10"/>
    </row>
    <row r="260" ht="14.25" customHeight="1">
      <c r="C260" s="10"/>
    </row>
    <row r="261" ht="14.25" customHeight="1">
      <c r="C261" s="10"/>
    </row>
    <row r="262" ht="14.25" customHeight="1">
      <c r="C262" s="10"/>
    </row>
    <row r="263" ht="14.25" customHeight="1">
      <c r="C263" s="10"/>
    </row>
    <row r="264" ht="14.25" customHeight="1">
      <c r="C264" s="10"/>
    </row>
    <row r="265" ht="14.25" customHeight="1">
      <c r="C265" s="10"/>
    </row>
    <row r="266" ht="14.25" customHeight="1">
      <c r="C266" s="10"/>
    </row>
    <row r="267" ht="14.25" customHeight="1">
      <c r="C267" s="10"/>
    </row>
    <row r="268" ht="14.25" customHeight="1">
      <c r="C268" s="10"/>
    </row>
    <row r="269" ht="14.25" customHeight="1">
      <c r="C269" s="10"/>
    </row>
    <row r="270" ht="14.25" customHeight="1">
      <c r="C270" s="10"/>
    </row>
    <row r="271" ht="14.25" customHeight="1">
      <c r="C271" s="10"/>
    </row>
    <row r="272" ht="14.25" customHeight="1">
      <c r="C272" s="10"/>
    </row>
    <row r="273" ht="14.25" customHeight="1">
      <c r="C273" s="10"/>
    </row>
    <row r="274" ht="14.25" customHeight="1">
      <c r="C274" s="10"/>
    </row>
    <row r="275" ht="14.25" customHeight="1">
      <c r="C275" s="10"/>
    </row>
    <row r="276" ht="14.25" customHeight="1">
      <c r="C276" s="10"/>
    </row>
    <row r="277" ht="14.25" customHeight="1">
      <c r="C277" s="10"/>
    </row>
    <row r="278" ht="14.25" customHeight="1">
      <c r="C278" s="10"/>
    </row>
    <row r="279" ht="14.25" customHeight="1">
      <c r="C279" s="10"/>
    </row>
    <row r="280" ht="14.25" customHeight="1">
      <c r="C280" s="10"/>
    </row>
    <row r="281" ht="14.25" customHeight="1">
      <c r="C281" s="10"/>
    </row>
    <row r="282" ht="14.25" customHeight="1">
      <c r="C282" s="10"/>
    </row>
    <row r="283" ht="14.25" customHeight="1">
      <c r="C283" s="10"/>
    </row>
    <row r="284" ht="14.25" customHeight="1">
      <c r="C284" s="10"/>
    </row>
    <row r="285" ht="14.25" customHeight="1">
      <c r="C285" s="10"/>
    </row>
    <row r="286" ht="14.25" customHeight="1">
      <c r="C286" s="10"/>
    </row>
    <row r="287" ht="14.25" customHeight="1">
      <c r="C287" s="10"/>
    </row>
    <row r="288" ht="14.25" customHeight="1">
      <c r="C288" s="10"/>
    </row>
    <row r="289" ht="14.25" customHeight="1">
      <c r="C289" s="10"/>
    </row>
    <row r="290" ht="14.25" customHeight="1">
      <c r="C290" s="10"/>
    </row>
    <row r="291" ht="14.25" customHeight="1">
      <c r="C291" s="10"/>
    </row>
    <row r="292" ht="14.25" customHeight="1">
      <c r="C292" s="10"/>
    </row>
    <row r="293" ht="14.25" customHeight="1">
      <c r="C293" s="10"/>
    </row>
    <row r="294" ht="14.25" customHeight="1">
      <c r="C294" s="10"/>
    </row>
    <row r="295" ht="14.25" customHeight="1">
      <c r="C295" s="10"/>
    </row>
    <row r="296" ht="14.25" customHeight="1">
      <c r="C296" s="10"/>
    </row>
    <row r="297" ht="14.25" customHeight="1">
      <c r="C297" s="10"/>
    </row>
    <row r="298" ht="14.25" customHeight="1">
      <c r="C298" s="10"/>
    </row>
    <row r="299" ht="14.25" customHeight="1">
      <c r="C299" s="10"/>
    </row>
    <row r="300" ht="14.25" customHeight="1">
      <c r="C300" s="10"/>
    </row>
    <row r="301" ht="14.25" customHeight="1">
      <c r="C301" s="10"/>
    </row>
    <row r="302" ht="14.25" customHeight="1">
      <c r="C302" s="10"/>
    </row>
    <row r="303" ht="14.25" customHeight="1">
      <c r="C303" s="10"/>
    </row>
    <row r="304" ht="14.25" customHeight="1">
      <c r="C304" s="10"/>
    </row>
    <row r="305" ht="14.25" customHeight="1">
      <c r="C305" s="10"/>
    </row>
    <row r="306" ht="14.25" customHeight="1">
      <c r="C306" s="10"/>
    </row>
    <row r="307" ht="14.25" customHeight="1">
      <c r="C307" s="10"/>
    </row>
    <row r="308" ht="14.25" customHeight="1">
      <c r="C308" s="10"/>
    </row>
    <row r="309" ht="14.25" customHeight="1">
      <c r="C309" s="10"/>
    </row>
    <row r="310" ht="14.25" customHeight="1">
      <c r="C310" s="10"/>
    </row>
    <row r="311" ht="14.25" customHeight="1">
      <c r="C311" s="10"/>
    </row>
    <row r="312" ht="14.25" customHeight="1">
      <c r="C312" s="10"/>
    </row>
    <row r="313" ht="14.25" customHeight="1">
      <c r="C313" s="10"/>
    </row>
    <row r="314" ht="14.25" customHeight="1">
      <c r="C314" s="10"/>
    </row>
    <row r="315" ht="14.25" customHeight="1">
      <c r="C315" s="10"/>
    </row>
    <row r="316" ht="14.25" customHeight="1">
      <c r="C316" s="10"/>
    </row>
    <row r="317" ht="14.25" customHeight="1">
      <c r="C317" s="10"/>
    </row>
    <row r="318" ht="14.25" customHeight="1">
      <c r="C318" s="10"/>
    </row>
    <row r="319" ht="14.25" customHeight="1">
      <c r="C319" s="10"/>
    </row>
    <row r="320" ht="14.25" customHeight="1">
      <c r="C320" s="10"/>
    </row>
    <row r="321" ht="14.25" customHeight="1">
      <c r="C321" s="10"/>
    </row>
    <row r="322" ht="14.25" customHeight="1">
      <c r="C322" s="10"/>
    </row>
    <row r="323" ht="14.25" customHeight="1">
      <c r="C323" s="10"/>
    </row>
    <row r="324" ht="14.25" customHeight="1">
      <c r="C324" s="10"/>
    </row>
    <row r="325" ht="14.25" customHeight="1">
      <c r="C325" s="10"/>
    </row>
    <row r="326" ht="14.25" customHeight="1">
      <c r="C326" s="10"/>
    </row>
    <row r="327" ht="14.25" customHeight="1">
      <c r="C327" s="10"/>
    </row>
    <row r="328" ht="14.25" customHeight="1">
      <c r="C328" s="10"/>
    </row>
    <row r="329" ht="14.25" customHeight="1">
      <c r="C329" s="10"/>
    </row>
    <row r="330" ht="14.25" customHeight="1">
      <c r="C330" s="10"/>
    </row>
    <row r="331" ht="14.25" customHeight="1">
      <c r="C331" s="10"/>
    </row>
    <row r="332" ht="14.25" customHeight="1">
      <c r="C332" s="10"/>
    </row>
    <row r="333" ht="14.25" customHeight="1">
      <c r="C333" s="10"/>
    </row>
    <row r="334" ht="14.25" customHeight="1">
      <c r="C334" s="10"/>
    </row>
    <row r="335" ht="14.25" customHeight="1">
      <c r="C335" s="10"/>
    </row>
    <row r="336" ht="14.25" customHeight="1">
      <c r="C336" s="10"/>
    </row>
    <row r="337" ht="14.25" customHeight="1">
      <c r="C337" s="10"/>
    </row>
    <row r="338" ht="14.25" customHeight="1">
      <c r="C338" s="10"/>
    </row>
    <row r="339" ht="14.25" customHeight="1">
      <c r="C339" s="10"/>
    </row>
    <row r="340" ht="14.25" customHeight="1">
      <c r="C340" s="10"/>
    </row>
    <row r="341" ht="14.25" customHeight="1">
      <c r="C341" s="10"/>
    </row>
    <row r="342" ht="14.25" customHeight="1">
      <c r="C342" s="10"/>
    </row>
    <row r="343" ht="14.25" customHeight="1">
      <c r="C343" s="10"/>
    </row>
    <row r="344" ht="14.25" customHeight="1">
      <c r="C344" s="10"/>
    </row>
    <row r="345" ht="14.25" customHeight="1">
      <c r="C345" s="10"/>
    </row>
    <row r="346" ht="14.25" customHeight="1">
      <c r="C346" s="10"/>
    </row>
    <row r="347" ht="14.25" customHeight="1">
      <c r="C347" s="10"/>
    </row>
    <row r="348" ht="14.25" customHeight="1">
      <c r="C348" s="10"/>
    </row>
    <row r="349" ht="14.25" customHeight="1">
      <c r="C349" s="10"/>
    </row>
    <row r="350" ht="14.25" customHeight="1">
      <c r="C350" s="10"/>
    </row>
    <row r="351" ht="14.25" customHeight="1">
      <c r="C351" s="10"/>
    </row>
    <row r="352" ht="14.25" customHeight="1">
      <c r="C352" s="10"/>
    </row>
    <row r="353" ht="14.25" customHeight="1">
      <c r="C353" s="10"/>
    </row>
    <row r="354" ht="14.25" customHeight="1">
      <c r="C354" s="10"/>
    </row>
    <row r="355" ht="14.25" customHeight="1">
      <c r="C355" s="10"/>
    </row>
    <row r="356" ht="14.25" customHeight="1">
      <c r="C356" s="10"/>
    </row>
    <row r="357" ht="14.25" customHeight="1">
      <c r="C357" s="10"/>
    </row>
    <row r="358" ht="14.25" customHeight="1">
      <c r="C358" s="10"/>
    </row>
    <row r="359" ht="14.25" customHeight="1">
      <c r="C359" s="10"/>
    </row>
    <row r="360" ht="14.25" customHeight="1">
      <c r="C360" s="10"/>
    </row>
    <row r="361" ht="14.25" customHeight="1">
      <c r="C361" s="10"/>
    </row>
    <row r="362" ht="14.25" customHeight="1">
      <c r="C362" s="10"/>
    </row>
    <row r="363" ht="14.25" customHeight="1">
      <c r="C363" s="10"/>
    </row>
    <row r="364" ht="14.25" customHeight="1">
      <c r="C364" s="10"/>
    </row>
    <row r="365" ht="14.25" customHeight="1">
      <c r="C365" s="10"/>
    </row>
    <row r="366" ht="14.25" customHeight="1">
      <c r="C366" s="10"/>
    </row>
    <row r="367" ht="14.25" customHeight="1">
      <c r="C367" s="10"/>
    </row>
    <row r="368" ht="14.25" customHeight="1">
      <c r="C368" s="10"/>
    </row>
    <row r="369" ht="14.25" customHeight="1">
      <c r="C369" s="10"/>
    </row>
    <row r="370" ht="14.25" customHeight="1">
      <c r="C370" s="10"/>
    </row>
    <row r="371" ht="14.25" customHeight="1">
      <c r="C371" s="10"/>
    </row>
    <row r="372" ht="14.25" customHeight="1">
      <c r="C372" s="10"/>
    </row>
    <row r="373" ht="14.25" customHeight="1">
      <c r="C373" s="10"/>
    </row>
    <row r="374" ht="14.25" customHeight="1">
      <c r="C374" s="10"/>
    </row>
    <row r="375" ht="14.25" customHeight="1">
      <c r="C375" s="10"/>
    </row>
    <row r="376" ht="14.25" customHeight="1">
      <c r="C376" s="10"/>
    </row>
    <row r="377" ht="14.25" customHeight="1">
      <c r="C377" s="10"/>
    </row>
    <row r="378" ht="14.25" customHeight="1">
      <c r="C378" s="10"/>
    </row>
    <row r="379" ht="14.25" customHeight="1">
      <c r="C379" s="10"/>
    </row>
    <row r="380" ht="14.25" customHeight="1">
      <c r="C380" s="10"/>
    </row>
    <row r="381" ht="14.25" customHeight="1">
      <c r="C381" s="10"/>
    </row>
    <row r="382" ht="14.25" customHeight="1">
      <c r="C382" s="10"/>
    </row>
    <row r="383" ht="14.25" customHeight="1">
      <c r="C383" s="10"/>
    </row>
    <row r="384" ht="14.25" customHeight="1">
      <c r="C384" s="10"/>
    </row>
    <row r="385" ht="14.25" customHeight="1">
      <c r="C385" s="10"/>
    </row>
    <row r="386" ht="14.25" customHeight="1">
      <c r="C386" s="10"/>
    </row>
    <row r="387" ht="14.25" customHeight="1">
      <c r="C387" s="10"/>
    </row>
    <row r="388" ht="14.25" customHeight="1">
      <c r="C388" s="10"/>
    </row>
    <row r="389" ht="14.25" customHeight="1">
      <c r="C389" s="10"/>
    </row>
    <row r="390" ht="14.25" customHeight="1">
      <c r="C390" s="10"/>
    </row>
    <row r="391" ht="14.25" customHeight="1">
      <c r="C391" s="10"/>
    </row>
    <row r="392" ht="14.25" customHeight="1">
      <c r="C392" s="10"/>
    </row>
    <row r="393" ht="14.25" customHeight="1">
      <c r="C393" s="10"/>
    </row>
    <row r="394" ht="14.25" customHeight="1">
      <c r="C394" s="10"/>
    </row>
    <row r="395" ht="14.25" customHeight="1">
      <c r="C395" s="10"/>
    </row>
    <row r="396" ht="14.25" customHeight="1">
      <c r="C396" s="10"/>
    </row>
    <row r="397" ht="14.25" customHeight="1">
      <c r="C397" s="10"/>
    </row>
    <row r="398" ht="14.25" customHeight="1">
      <c r="C398" s="10"/>
    </row>
    <row r="399" ht="14.25" customHeight="1">
      <c r="C399" s="10"/>
    </row>
    <row r="400" ht="14.25" customHeight="1">
      <c r="C400" s="10"/>
    </row>
    <row r="401" ht="14.25" customHeight="1">
      <c r="C401" s="10"/>
    </row>
    <row r="402" ht="14.25" customHeight="1">
      <c r="C402" s="10"/>
    </row>
    <row r="403" ht="14.25" customHeight="1">
      <c r="C403" s="10"/>
    </row>
    <row r="404" ht="14.25" customHeight="1">
      <c r="C404" s="10"/>
    </row>
    <row r="405" ht="14.25" customHeight="1">
      <c r="C405" s="10"/>
    </row>
    <row r="406" ht="14.25" customHeight="1">
      <c r="C406" s="10"/>
    </row>
    <row r="407" ht="14.25" customHeight="1">
      <c r="C407" s="10"/>
    </row>
    <row r="408" ht="14.25" customHeight="1">
      <c r="C408" s="10"/>
    </row>
    <row r="409" ht="14.25" customHeight="1">
      <c r="C409" s="10"/>
    </row>
    <row r="410" ht="14.25" customHeight="1">
      <c r="C410" s="10"/>
    </row>
    <row r="411" ht="14.25" customHeight="1">
      <c r="C411" s="10"/>
    </row>
    <row r="412" ht="14.25" customHeight="1">
      <c r="C412" s="10"/>
    </row>
    <row r="413" ht="14.25" customHeight="1">
      <c r="C413" s="10"/>
    </row>
    <row r="414" ht="14.25" customHeight="1">
      <c r="C414" s="10"/>
    </row>
    <row r="415" ht="14.25" customHeight="1">
      <c r="C415" s="10"/>
    </row>
    <row r="416" ht="14.25" customHeight="1">
      <c r="C416" s="10"/>
    </row>
    <row r="417" ht="14.25" customHeight="1">
      <c r="C417" s="10"/>
    </row>
    <row r="418" ht="14.25" customHeight="1">
      <c r="C418" s="10"/>
    </row>
    <row r="419" ht="14.25" customHeight="1">
      <c r="C419" s="10"/>
    </row>
    <row r="420" ht="14.25" customHeight="1">
      <c r="C420" s="10"/>
    </row>
    <row r="421" ht="14.25" customHeight="1">
      <c r="C421" s="10"/>
    </row>
    <row r="422" ht="14.25" customHeight="1">
      <c r="C422" s="10"/>
    </row>
    <row r="423" ht="14.25" customHeight="1">
      <c r="C423" s="10"/>
    </row>
    <row r="424" ht="14.25" customHeight="1">
      <c r="C424" s="10"/>
    </row>
    <row r="425" ht="14.25" customHeight="1">
      <c r="C425" s="10"/>
    </row>
    <row r="426" ht="14.25" customHeight="1">
      <c r="C426" s="10"/>
    </row>
    <row r="427" ht="14.25" customHeight="1">
      <c r="C427" s="10"/>
    </row>
    <row r="428" ht="14.25" customHeight="1">
      <c r="C428" s="10"/>
    </row>
    <row r="429" ht="14.25" customHeight="1">
      <c r="C429" s="10"/>
    </row>
    <row r="430" ht="14.25" customHeight="1">
      <c r="C430" s="10"/>
    </row>
    <row r="431" ht="14.25" customHeight="1">
      <c r="C431" s="10"/>
    </row>
    <row r="432" ht="14.25" customHeight="1">
      <c r="C432" s="10"/>
    </row>
    <row r="433" ht="14.25" customHeight="1">
      <c r="C433" s="10"/>
    </row>
    <row r="434" ht="14.25" customHeight="1">
      <c r="C434" s="10"/>
    </row>
    <row r="435" ht="14.25" customHeight="1">
      <c r="C435" s="10"/>
    </row>
    <row r="436" ht="14.25" customHeight="1">
      <c r="C436" s="10"/>
    </row>
    <row r="437" ht="14.25" customHeight="1">
      <c r="C437" s="10"/>
    </row>
    <row r="438" ht="14.25" customHeight="1">
      <c r="C438" s="10"/>
    </row>
    <row r="439" ht="14.25" customHeight="1">
      <c r="C439" s="10"/>
    </row>
    <row r="440" ht="14.25" customHeight="1">
      <c r="C440" s="10"/>
    </row>
    <row r="441" ht="14.25" customHeight="1">
      <c r="C441" s="10"/>
    </row>
    <row r="442" ht="14.25" customHeight="1">
      <c r="C442" s="10"/>
    </row>
    <row r="443" ht="14.25" customHeight="1">
      <c r="C443" s="10"/>
    </row>
    <row r="444" ht="14.25" customHeight="1">
      <c r="C444" s="10"/>
    </row>
    <row r="445" ht="14.25" customHeight="1">
      <c r="C445" s="10"/>
    </row>
    <row r="446" ht="14.25" customHeight="1">
      <c r="C446" s="10"/>
    </row>
    <row r="447" ht="14.25" customHeight="1">
      <c r="C447" s="10"/>
    </row>
    <row r="448" ht="14.25" customHeight="1">
      <c r="C448" s="10"/>
    </row>
    <row r="449" ht="14.25" customHeight="1">
      <c r="C449" s="10"/>
    </row>
    <row r="450" ht="14.25" customHeight="1">
      <c r="C450" s="10"/>
    </row>
    <row r="451" ht="14.25" customHeight="1">
      <c r="C451" s="10"/>
    </row>
    <row r="452" ht="14.25" customHeight="1">
      <c r="C452" s="10"/>
    </row>
    <row r="453" ht="14.25" customHeight="1">
      <c r="C453" s="10"/>
    </row>
    <row r="454" ht="14.25" customHeight="1">
      <c r="C454" s="10"/>
    </row>
    <row r="455" ht="14.25" customHeight="1">
      <c r="C455" s="10"/>
    </row>
    <row r="456" ht="14.25" customHeight="1">
      <c r="C456" s="10"/>
    </row>
    <row r="457" ht="14.25" customHeight="1">
      <c r="C457" s="10"/>
    </row>
    <row r="458" ht="14.25" customHeight="1">
      <c r="C458" s="10"/>
    </row>
    <row r="459" ht="14.25" customHeight="1">
      <c r="C459" s="10"/>
    </row>
    <row r="460" ht="14.25" customHeight="1">
      <c r="C460" s="10"/>
    </row>
    <row r="461" ht="14.25" customHeight="1">
      <c r="C461" s="10"/>
    </row>
    <row r="462" ht="14.25" customHeight="1">
      <c r="C462" s="10"/>
    </row>
    <row r="463" ht="14.25" customHeight="1">
      <c r="C463" s="10"/>
    </row>
    <row r="464" ht="14.25" customHeight="1">
      <c r="C464" s="10"/>
    </row>
    <row r="465" ht="14.25" customHeight="1">
      <c r="C465" s="10"/>
    </row>
    <row r="466" ht="14.25" customHeight="1">
      <c r="C466" s="10"/>
    </row>
    <row r="467" ht="14.25" customHeight="1">
      <c r="C467" s="10"/>
    </row>
    <row r="468" ht="14.25" customHeight="1">
      <c r="C468" s="10"/>
    </row>
    <row r="469" ht="14.25" customHeight="1">
      <c r="C469" s="10"/>
    </row>
    <row r="470" ht="14.25" customHeight="1">
      <c r="C470" s="10"/>
    </row>
    <row r="471" ht="14.25" customHeight="1">
      <c r="C471" s="10"/>
    </row>
    <row r="472" ht="14.25" customHeight="1">
      <c r="C472" s="10"/>
    </row>
    <row r="473" ht="14.25" customHeight="1">
      <c r="C473" s="10"/>
    </row>
    <row r="474" ht="14.25" customHeight="1">
      <c r="C474" s="10"/>
    </row>
    <row r="475" ht="14.25" customHeight="1">
      <c r="C475" s="10"/>
    </row>
    <row r="476" ht="14.25" customHeight="1">
      <c r="C476" s="10"/>
    </row>
    <row r="477" ht="14.25" customHeight="1">
      <c r="C477" s="10"/>
    </row>
    <row r="478" ht="14.25" customHeight="1">
      <c r="C478" s="10"/>
    </row>
    <row r="479" ht="14.25" customHeight="1">
      <c r="C479" s="10"/>
    </row>
    <row r="480" ht="14.25" customHeight="1">
      <c r="C480" s="10"/>
    </row>
    <row r="481" ht="14.25" customHeight="1">
      <c r="C481" s="10"/>
    </row>
    <row r="482" ht="14.25" customHeight="1">
      <c r="C482" s="10"/>
    </row>
    <row r="483" ht="14.25" customHeight="1">
      <c r="C483" s="10"/>
    </row>
    <row r="484" ht="14.25" customHeight="1">
      <c r="C484" s="10"/>
    </row>
    <row r="485" ht="14.25" customHeight="1">
      <c r="C485" s="10"/>
    </row>
    <row r="486" ht="14.25" customHeight="1">
      <c r="C486" s="10"/>
    </row>
    <row r="487" ht="14.25" customHeight="1">
      <c r="C487" s="10"/>
    </row>
    <row r="488" ht="14.25" customHeight="1">
      <c r="C488" s="10"/>
    </row>
    <row r="489" ht="14.25" customHeight="1">
      <c r="C489" s="10"/>
    </row>
    <row r="490" ht="14.25" customHeight="1">
      <c r="C490" s="10"/>
    </row>
    <row r="491" ht="14.25" customHeight="1">
      <c r="C491" s="10"/>
    </row>
    <row r="492" ht="14.25" customHeight="1">
      <c r="C492" s="10"/>
    </row>
    <row r="493" ht="14.25" customHeight="1">
      <c r="C493" s="10"/>
    </row>
    <row r="494" ht="14.25" customHeight="1">
      <c r="C494" s="10"/>
    </row>
    <row r="495" ht="14.25" customHeight="1">
      <c r="C495" s="10"/>
    </row>
    <row r="496" ht="14.25" customHeight="1">
      <c r="C496" s="10"/>
    </row>
    <row r="497" ht="14.25" customHeight="1">
      <c r="C497" s="10"/>
    </row>
    <row r="498" ht="14.25" customHeight="1">
      <c r="C498" s="10"/>
    </row>
    <row r="499" ht="14.25" customHeight="1">
      <c r="C499" s="10"/>
    </row>
    <row r="500" ht="14.25" customHeight="1">
      <c r="C500" s="10"/>
    </row>
    <row r="501" ht="14.25" customHeight="1">
      <c r="C501" s="10"/>
    </row>
    <row r="502" ht="14.25" customHeight="1">
      <c r="C502" s="10"/>
    </row>
    <row r="503" ht="14.25" customHeight="1">
      <c r="C503" s="10"/>
    </row>
    <row r="504" ht="14.25" customHeight="1">
      <c r="C504" s="10"/>
    </row>
    <row r="505" ht="14.25" customHeight="1">
      <c r="C505" s="10"/>
    </row>
    <row r="506" ht="14.25" customHeight="1">
      <c r="C506" s="10"/>
    </row>
    <row r="507" ht="14.25" customHeight="1">
      <c r="C507" s="10"/>
    </row>
    <row r="508" ht="14.25" customHeight="1">
      <c r="C508" s="10"/>
    </row>
    <row r="509" ht="14.25" customHeight="1">
      <c r="C509" s="10"/>
    </row>
    <row r="510" ht="14.25" customHeight="1">
      <c r="C510" s="10"/>
    </row>
    <row r="511" ht="14.25" customHeight="1">
      <c r="C511" s="10"/>
    </row>
    <row r="512" ht="14.25" customHeight="1">
      <c r="C512" s="10"/>
    </row>
    <row r="513" ht="14.25" customHeight="1">
      <c r="C513" s="10"/>
    </row>
    <row r="514" ht="14.25" customHeight="1">
      <c r="C514" s="10"/>
    </row>
    <row r="515" ht="14.25" customHeight="1">
      <c r="C515" s="10"/>
    </row>
    <row r="516" ht="14.25" customHeight="1">
      <c r="C516" s="10"/>
    </row>
    <row r="517" ht="14.25" customHeight="1">
      <c r="C517" s="10"/>
    </row>
    <row r="518" ht="14.25" customHeight="1">
      <c r="C518" s="10"/>
    </row>
    <row r="519" ht="14.25" customHeight="1">
      <c r="C519" s="10"/>
    </row>
    <row r="520" ht="14.25" customHeight="1">
      <c r="C520" s="10"/>
    </row>
    <row r="521" ht="14.25" customHeight="1">
      <c r="C521" s="10"/>
    </row>
    <row r="522" ht="14.25" customHeight="1">
      <c r="C522" s="10"/>
    </row>
    <row r="523" ht="14.25" customHeight="1">
      <c r="C523" s="10"/>
    </row>
    <row r="524" ht="14.25" customHeight="1">
      <c r="C524" s="10"/>
    </row>
    <row r="525" ht="14.25" customHeight="1">
      <c r="C525" s="10"/>
    </row>
    <row r="526" ht="14.25" customHeight="1">
      <c r="C526" s="10"/>
    </row>
    <row r="527" ht="14.25" customHeight="1">
      <c r="C527" s="10"/>
    </row>
    <row r="528" ht="14.25" customHeight="1">
      <c r="C528" s="10"/>
    </row>
    <row r="529" ht="14.25" customHeight="1">
      <c r="C529" s="10"/>
    </row>
    <row r="530" ht="14.25" customHeight="1">
      <c r="C530" s="10"/>
    </row>
    <row r="531" ht="14.25" customHeight="1">
      <c r="C531" s="10"/>
    </row>
    <row r="532" ht="14.25" customHeight="1">
      <c r="C532" s="10"/>
    </row>
    <row r="533" ht="14.25" customHeight="1">
      <c r="C533" s="10"/>
    </row>
    <row r="534" ht="14.25" customHeight="1">
      <c r="C534" s="10"/>
    </row>
    <row r="535" ht="14.25" customHeight="1">
      <c r="C535" s="10"/>
    </row>
    <row r="536" ht="14.25" customHeight="1">
      <c r="C536" s="10"/>
    </row>
    <row r="537" ht="14.25" customHeight="1">
      <c r="C537" s="10"/>
    </row>
    <row r="538" ht="14.25" customHeight="1">
      <c r="C538" s="10"/>
    </row>
    <row r="539" ht="14.25" customHeight="1">
      <c r="C539" s="10"/>
    </row>
    <row r="540" ht="14.25" customHeight="1">
      <c r="C540" s="10"/>
    </row>
    <row r="541" ht="14.25" customHeight="1">
      <c r="C541" s="10"/>
    </row>
    <row r="542" ht="14.25" customHeight="1">
      <c r="C542" s="10"/>
    </row>
    <row r="543" ht="14.25" customHeight="1">
      <c r="C543" s="10"/>
    </row>
    <row r="544" ht="14.25" customHeight="1">
      <c r="C544" s="10"/>
    </row>
    <row r="545" ht="14.25" customHeight="1">
      <c r="C545" s="10"/>
    </row>
    <row r="546" ht="14.25" customHeight="1">
      <c r="C546" s="10"/>
    </row>
    <row r="547" ht="14.25" customHeight="1">
      <c r="C547" s="10"/>
    </row>
    <row r="548" ht="14.25" customHeight="1">
      <c r="C548" s="10"/>
    </row>
    <row r="549" ht="14.25" customHeight="1">
      <c r="C549" s="10"/>
    </row>
    <row r="550" ht="14.25" customHeight="1">
      <c r="C550" s="10"/>
    </row>
    <row r="551" ht="14.25" customHeight="1">
      <c r="C551" s="10"/>
    </row>
    <row r="552" ht="14.25" customHeight="1">
      <c r="C552" s="10"/>
    </row>
    <row r="553" ht="14.25" customHeight="1">
      <c r="C553" s="10"/>
    </row>
    <row r="554" ht="14.25" customHeight="1">
      <c r="C554" s="10"/>
    </row>
    <row r="555" ht="14.25" customHeight="1">
      <c r="C555" s="10"/>
    </row>
    <row r="556" ht="14.25" customHeight="1">
      <c r="C556" s="10"/>
    </row>
    <row r="557" ht="14.25" customHeight="1">
      <c r="C557" s="10"/>
    </row>
    <row r="558" ht="14.25" customHeight="1">
      <c r="C558" s="10"/>
    </row>
    <row r="559" ht="14.25" customHeight="1">
      <c r="C559" s="10"/>
    </row>
    <row r="560" ht="14.25" customHeight="1">
      <c r="C560" s="10"/>
    </row>
    <row r="561" ht="14.25" customHeight="1">
      <c r="C561" s="10"/>
    </row>
    <row r="562" ht="14.25" customHeight="1">
      <c r="C562" s="10"/>
    </row>
    <row r="563" ht="14.25" customHeight="1">
      <c r="C563" s="10"/>
    </row>
    <row r="564" ht="14.25" customHeight="1">
      <c r="C564" s="10"/>
    </row>
    <row r="565" ht="14.25" customHeight="1">
      <c r="C565" s="10"/>
    </row>
    <row r="566" ht="14.25" customHeight="1">
      <c r="C566" s="10"/>
    </row>
    <row r="567" ht="14.25" customHeight="1">
      <c r="C567" s="10"/>
    </row>
    <row r="568" ht="14.25" customHeight="1">
      <c r="C568" s="10"/>
    </row>
    <row r="569" ht="14.25" customHeight="1">
      <c r="C569" s="10"/>
    </row>
    <row r="570" ht="14.25" customHeight="1">
      <c r="C570" s="10"/>
    </row>
    <row r="571" ht="14.25" customHeight="1">
      <c r="C571" s="10"/>
    </row>
    <row r="572" ht="14.25" customHeight="1">
      <c r="C572" s="10"/>
    </row>
    <row r="573" ht="14.25" customHeight="1">
      <c r="C573" s="10"/>
    </row>
    <row r="574" ht="14.25" customHeight="1">
      <c r="C574" s="10"/>
    </row>
    <row r="575" ht="14.25" customHeight="1">
      <c r="C575" s="10"/>
    </row>
    <row r="576" ht="14.25" customHeight="1">
      <c r="C576" s="10"/>
    </row>
    <row r="577" ht="14.25" customHeight="1">
      <c r="C577" s="10"/>
    </row>
    <row r="578" ht="14.25" customHeight="1">
      <c r="C578" s="10"/>
    </row>
    <row r="579" ht="14.25" customHeight="1">
      <c r="C579" s="10"/>
    </row>
    <row r="580" ht="14.25" customHeight="1">
      <c r="C580" s="10"/>
    </row>
    <row r="581" ht="14.25" customHeight="1">
      <c r="C581" s="10"/>
    </row>
    <row r="582" ht="14.25" customHeight="1">
      <c r="C582" s="10"/>
    </row>
    <row r="583" ht="14.25" customHeight="1">
      <c r="C583" s="10"/>
    </row>
    <row r="584" ht="14.25" customHeight="1">
      <c r="C584" s="10"/>
    </row>
    <row r="585" ht="14.25" customHeight="1">
      <c r="C585" s="10"/>
    </row>
    <row r="586" ht="14.25" customHeight="1">
      <c r="C586" s="10"/>
    </row>
    <row r="587" ht="14.25" customHeight="1">
      <c r="C587" s="10"/>
    </row>
    <row r="588" ht="14.25" customHeight="1">
      <c r="C588" s="10"/>
    </row>
    <row r="589" ht="14.25" customHeight="1">
      <c r="C589" s="10"/>
    </row>
    <row r="590" ht="14.25" customHeight="1">
      <c r="C590" s="10"/>
    </row>
    <row r="591" ht="14.25" customHeight="1">
      <c r="C591" s="10"/>
    </row>
    <row r="592" ht="14.25" customHeight="1">
      <c r="C592" s="10"/>
    </row>
    <row r="593" ht="14.25" customHeight="1">
      <c r="C593" s="10"/>
    </row>
    <row r="594" ht="14.25" customHeight="1">
      <c r="C594" s="10"/>
    </row>
    <row r="595" ht="14.25" customHeight="1">
      <c r="C595" s="10"/>
    </row>
    <row r="596" ht="14.25" customHeight="1">
      <c r="C596" s="10"/>
    </row>
    <row r="597" ht="14.25" customHeight="1">
      <c r="C597" s="10"/>
    </row>
    <row r="598" ht="14.25" customHeight="1">
      <c r="C598" s="10"/>
    </row>
    <row r="599" ht="14.25" customHeight="1">
      <c r="C599" s="10"/>
    </row>
    <row r="600" ht="14.25" customHeight="1">
      <c r="C600" s="10"/>
    </row>
    <row r="601" ht="14.25" customHeight="1">
      <c r="C601" s="10"/>
    </row>
    <row r="602" ht="14.25" customHeight="1">
      <c r="C602" s="10"/>
    </row>
    <row r="603" ht="14.25" customHeight="1">
      <c r="C603" s="10"/>
    </row>
    <row r="604" ht="14.25" customHeight="1">
      <c r="C604" s="10"/>
    </row>
    <row r="605" ht="14.25" customHeight="1">
      <c r="C605" s="10"/>
    </row>
    <row r="606" ht="14.25" customHeight="1">
      <c r="C606" s="10"/>
    </row>
    <row r="607" ht="14.25" customHeight="1">
      <c r="C607" s="10"/>
    </row>
    <row r="608" ht="14.25" customHeight="1">
      <c r="C608" s="10"/>
    </row>
    <row r="609" ht="14.25" customHeight="1">
      <c r="C609" s="10"/>
    </row>
    <row r="610" ht="14.25" customHeight="1">
      <c r="C610" s="10"/>
    </row>
    <row r="611" ht="14.25" customHeight="1">
      <c r="C611" s="10"/>
    </row>
    <row r="612" ht="14.25" customHeight="1">
      <c r="C612" s="10"/>
    </row>
    <row r="613" ht="14.25" customHeight="1">
      <c r="C613" s="10"/>
    </row>
    <row r="614" ht="14.25" customHeight="1">
      <c r="C614" s="10"/>
    </row>
    <row r="615" ht="14.25" customHeight="1">
      <c r="C615" s="10"/>
    </row>
    <row r="616" ht="14.25" customHeight="1">
      <c r="C616" s="10"/>
    </row>
    <row r="617" ht="14.25" customHeight="1">
      <c r="C617" s="10"/>
    </row>
    <row r="618" ht="14.25" customHeight="1">
      <c r="C618" s="10"/>
    </row>
    <row r="619" ht="14.25" customHeight="1">
      <c r="C619" s="10"/>
    </row>
    <row r="620" ht="14.25" customHeight="1">
      <c r="C620" s="10"/>
    </row>
    <row r="621" ht="14.25" customHeight="1">
      <c r="C621" s="10"/>
    </row>
    <row r="622" ht="14.25" customHeight="1">
      <c r="C622" s="10"/>
    </row>
    <row r="623" ht="14.25" customHeight="1">
      <c r="C623" s="10"/>
    </row>
    <row r="624" ht="14.25" customHeight="1">
      <c r="C624" s="10"/>
    </row>
    <row r="625" ht="14.25" customHeight="1">
      <c r="C625" s="10"/>
    </row>
    <row r="626" ht="14.25" customHeight="1">
      <c r="C626" s="10"/>
    </row>
    <row r="627" ht="14.25" customHeight="1">
      <c r="C627" s="10"/>
    </row>
    <row r="628" ht="14.25" customHeight="1">
      <c r="C628" s="10"/>
    </row>
    <row r="629" ht="14.25" customHeight="1">
      <c r="C629" s="10"/>
    </row>
    <row r="630" ht="14.25" customHeight="1">
      <c r="C630" s="10"/>
    </row>
    <row r="631" ht="14.25" customHeight="1">
      <c r="C631" s="10"/>
    </row>
    <row r="632" ht="14.25" customHeight="1">
      <c r="C632" s="10"/>
    </row>
    <row r="633" ht="14.25" customHeight="1">
      <c r="C633" s="10"/>
    </row>
    <row r="634" ht="14.25" customHeight="1">
      <c r="C634" s="10"/>
    </row>
    <row r="635" ht="14.25" customHeight="1">
      <c r="C635" s="10"/>
    </row>
    <row r="636" ht="14.25" customHeight="1">
      <c r="C636" s="10"/>
    </row>
    <row r="637" ht="14.25" customHeight="1">
      <c r="C637" s="10"/>
    </row>
    <row r="638" ht="14.25" customHeight="1">
      <c r="C638" s="10"/>
    </row>
    <row r="639" ht="14.25" customHeight="1">
      <c r="C639" s="10"/>
    </row>
    <row r="640" ht="14.25" customHeight="1">
      <c r="C640" s="10"/>
    </row>
    <row r="641" ht="14.25" customHeight="1">
      <c r="C641" s="10"/>
    </row>
    <row r="642" ht="14.25" customHeight="1">
      <c r="C642" s="10"/>
    </row>
    <row r="643" ht="14.25" customHeight="1">
      <c r="C643" s="10"/>
    </row>
    <row r="644" ht="14.25" customHeight="1">
      <c r="C644" s="10"/>
    </row>
    <row r="645" ht="14.25" customHeight="1">
      <c r="C645" s="10"/>
    </row>
    <row r="646" ht="14.25" customHeight="1">
      <c r="C646" s="10"/>
    </row>
    <row r="647" ht="14.25" customHeight="1">
      <c r="C647" s="10"/>
    </row>
    <row r="648" ht="14.25" customHeight="1">
      <c r="C648" s="10"/>
    </row>
    <row r="649" ht="14.25" customHeight="1">
      <c r="C649" s="10"/>
    </row>
    <row r="650" ht="14.25" customHeight="1">
      <c r="C650" s="10"/>
    </row>
    <row r="651" ht="14.25" customHeight="1">
      <c r="C651" s="10"/>
    </row>
    <row r="652" ht="14.25" customHeight="1">
      <c r="C652" s="10"/>
    </row>
    <row r="653" ht="14.25" customHeight="1">
      <c r="C653" s="10"/>
    </row>
    <row r="654" ht="14.25" customHeight="1">
      <c r="C654" s="10"/>
    </row>
    <row r="655" ht="14.25" customHeight="1">
      <c r="C655" s="10"/>
    </row>
    <row r="656" ht="14.25" customHeight="1">
      <c r="C656" s="10"/>
    </row>
    <row r="657" ht="14.25" customHeight="1">
      <c r="C657" s="10"/>
    </row>
    <row r="658" ht="14.25" customHeight="1">
      <c r="C658" s="10"/>
    </row>
    <row r="659" ht="14.25" customHeight="1">
      <c r="C659" s="10"/>
    </row>
    <row r="660" ht="14.25" customHeight="1">
      <c r="C660" s="10"/>
    </row>
    <row r="661" ht="14.25" customHeight="1">
      <c r="C661" s="10"/>
    </row>
    <row r="662" ht="14.25" customHeight="1">
      <c r="C662" s="10"/>
    </row>
    <row r="663" ht="14.25" customHeight="1">
      <c r="C663" s="10"/>
    </row>
    <row r="664" ht="14.25" customHeight="1">
      <c r="C664" s="10"/>
    </row>
    <row r="665" ht="14.25" customHeight="1">
      <c r="C665" s="10"/>
    </row>
    <row r="666" ht="14.25" customHeight="1">
      <c r="C666" s="10"/>
    </row>
    <row r="667" ht="14.25" customHeight="1">
      <c r="C667" s="10"/>
    </row>
    <row r="668" ht="14.25" customHeight="1">
      <c r="C668" s="10"/>
    </row>
    <row r="669" ht="14.25" customHeight="1">
      <c r="C669" s="10"/>
    </row>
    <row r="670" ht="14.25" customHeight="1">
      <c r="C670" s="10"/>
    </row>
    <row r="671" ht="14.25" customHeight="1">
      <c r="C671" s="10"/>
    </row>
    <row r="672" ht="14.25" customHeight="1">
      <c r="C672" s="10"/>
    </row>
    <row r="673" ht="14.25" customHeight="1">
      <c r="C673" s="10"/>
    </row>
    <row r="674" ht="14.25" customHeight="1">
      <c r="C674" s="10"/>
    </row>
    <row r="675" ht="14.25" customHeight="1">
      <c r="C675" s="10"/>
    </row>
    <row r="676" ht="14.25" customHeight="1">
      <c r="C676" s="10"/>
    </row>
    <row r="677" ht="14.25" customHeight="1">
      <c r="C677" s="10"/>
    </row>
    <row r="678" ht="14.25" customHeight="1">
      <c r="C678" s="10"/>
    </row>
    <row r="679" ht="14.25" customHeight="1">
      <c r="C679" s="10"/>
    </row>
    <row r="680" ht="14.25" customHeight="1">
      <c r="C680" s="10"/>
    </row>
    <row r="681" ht="14.25" customHeight="1">
      <c r="C681" s="10"/>
    </row>
    <row r="682" ht="14.25" customHeight="1">
      <c r="C682" s="10"/>
    </row>
    <row r="683" ht="14.25" customHeight="1">
      <c r="C683" s="10"/>
    </row>
    <row r="684" ht="14.25" customHeight="1">
      <c r="C684" s="10"/>
    </row>
    <row r="685" ht="14.25" customHeight="1">
      <c r="C685" s="10"/>
    </row>
    <row r="686" ht="14.25" customHeight="1">
      <c r="C686" s="10"/>
    </row>
    <row r="687" ht="14.25" customHeight="1">
      <c r="C687" s="10"/>
    </row>
    <row r="688" ht="14.25" customHeight="1">
      <c r="C688" s="10"/>
    </row>
    <row r="689" ht="14.25" customHeight="1">
      <c r="C689" s="10"/>
    </row>
    <row r="690" ht="14.25" customHeight="1">
      <c r="C690" s="10"/>
    </row>
    <row r="691" ht="14.25" customHeight="1">
      <c r="C691" s="10"/>
    </row>
    <row r="692" ht="14.25" customHeight="1">
      <c r="C692" s="10"/>
    </row>
    <row r="693" ht="14.25" customHeight="1">
      <c r="C693" s="10"/>
    </row>
    <row r="694" ht="14.25" customHeight="1">
      <c r="C694" s="10"/>
    </row>
    <row r="695" ht="14.25" customHeight="1">
      <c r="C695" s="10"/>
    </row>
    <row r="696" ht="14.25" customHeight="1">
      <c r="C696" s="10"/>
    </row>
    <row r="697" ht="14.25" customHeight="1">
      <c r="C697" s="10"/>
    </row>
    <row r="698" ht="14.25" customHeight="1">
      <c r="C698" s="10"/>
    </row>
    <row r="699" ht="14.25" customHeight="1">
      <c r="C699" s="10"/>
    </row>
    <row r="700" ht="14.25" customHeight="1">
      <c r="C700" s="10"/>
    </row>
    <row r="701" ht="14.25" customHeight="1">
      <c r="C701" s="10"/>
    </row>
    <row r="702" ht="14.25" customHeight="1">
      <c r="C702" s="10"/>
    </row>
    <row r="703" ht="14.25" customHeight="1">
      <c r="C703" s="10"/>
    </row>
    <row r="704" ht="14.25" customHeight="1">
      <c r="C704" s="10"/>
    </row>
    <row r="705" ht="14.25" customHeight="1">
      <c r="C705" s="10"/>
    </row>
    <row r="706" ht="14.25" customHeight="1">
      <c r="C706" s="10"/>
    </row>
    <row r="707" ht="14.25" customHeight="1">
      <c r="C707" s="10"/>
    </row>
    <row r="708" ht="14.25" customHeight="1">
      <c r="C708" s="10"/>
    </row>
    <row r="709" ht="14.25" customHeight="1">
      <c r="C709" s="10"/>
    </row>
    <row r="710" ht="14.25" customHeight="1">
      <c r="C710" s="10"/>
    </row>
    <row r="711" ht="14.25" customHeight="1">
      <c r="C711" s="10"/>
    </row>
    <row r="712" ht="14.25" customHeight="1">
      <c r="C712" s="10"/>
    </row>
    <row r="713" ht="14.25" customHeight="1">
      <c r="C713" s="10"/>
    </row>
    <row r="714" ht="14.25" customHeight="1">
      <c r="C714" s="10"/>
    </row>
    <row r="715" ht="14.25" customHeight="1">
      <c r="C715" s="10"/>
    </row>
    <row r="716" ht="14.25" customHeight="1">
      <c r="C716" s="10"/>
    </row>
    <row r="717" ht="14.25" customHeight="1">
      <c r="C717" s="10"/>
    </row>
    <row r="718" ht="14.25" customHeight="1">
      <c r="C718" s="10"/>
    </row>
    <row r="719" ht="14.25" customHeight="1">
      <c r="C719" s="10"/>
    </row>
    <row r="720" ht="14.25" customHeight="1">
      <c r="C720" s="10"/>
    </row>
    <row r="721" ht="14.25" customHeight="1">
      <c r="C721" s="10"/>
    </row>
    <row r="722" ht="14.25" customHeight="1">
      <c r="C722" s="10"/>
    </row>
    <row r="723" ht="14.25" customHeight="1">
      <c r="C723" s="10"/>
    </row>
    <row r="724" ht="14.25" customHeight="1">
      <c r="C724" s="10"/>
    </row>
    <row r="725" ht="14.25" customHeight="1">
      <c r="C725" s="10"/>
    </row>
    <row r="726" ht="14.25" customHeight="1">
      <c r="C726" s="10"/>
    </row>
    <row r="727" ht="14.25" customHeight="1">
      <c r="C727" s="10"/>
    </row>
    <row r="728" ht="14.25" customHeight="1">
      <c r="C728" s="10"/>
    </row>
    <row r="729" ht="14.25" customHeight="1">
      <c r="C729" s="10"/>
    </row>
    <row r="730" ht="14.25" customHeight="1">
      <c r="C730" s="10"/>
    </row>
    <row r="731" ht="14.25" customHeight="1">
      <c r="C731" s="10"/>
    </row>
    <row r="732" ht="14.25" customHeight="1">
      <c r="C732" s="10"/>
    </row>
    <row r="733" ht="14.25" customHeight="1">
      <c r="C733" s="10"/>
    </row>
    <row r="734" ht="14.25" customHeight="1">
      <c r="C734" s="10"/>
    </row>
    <row r="735" ht="14.25" customHeight="1">
      <c r="C735" s="10"/>
    </row>
    <row r="736" ht="14.25" customHeight="1">
      <c r="C736" s="10"/>
    </row>
    <row r="737" ht="14.25" customHeight="1">
      <c r="C737" s="10"/>
    </row>
    <row r="738" ht="14.25" customHeight="1">
      <c r="C738" s="10"/>
    </row>
    <row r="739" ht="14.25" customHeight="1">
      <c r="C739" s="10"/>
    </row>
    <row r="740" ht="14.25" customHeight="1">
      <c r="C740" s="10"/>
    </row>
    <row r="741" ht="14.25" customHeight="1">
      <c r="C741" s="10"/>
    </row>
    <row r="742" ht="14.25" customHeight="1">
      <c r="C742" s="10"/>
    </row>
    <row r="743" ht="14.25" customHeight="1">
      <c r="C743" s="10"/>
    </row>
    <row r="744" ht="14.25" customHeight="1">
      <c r="C744" s="10"/>
    </row>
    <row r="745" ht="14.25" customHeight="1">
      <c r="C745" s="10"/>
    </row>
    <row r="746" ht="14.25" customHeight="1">
      <c r="C746" s="10"/>
    </row>
    <row r="747" ht="14.25" customHeight="1">
      <c r="C747" s="10"/>
    </row>
    <row r="748" ht="14.25" customHeight="1">
      <c r="C748" s="10"/>
    </row>
    <row r="749" ht="14.25" customHeight="1">
      <c r="C749" s="10"/>
    </row>
    <row r="750" ht="14.25" customHeight="1">
      <c r="C750" s="10"/>
    </row>
    <row r="751" ht="14.25" customHeight="1">
      <c r="C751" s="10"/>
    </row>
    <row r="752" ht="14.25" customHeight="1">
      <c r="C752" s="10"/>
    </row>
    <row r="753" ht="14.25" customHeight="1">
      <c r="C753" s="10"/>
    </row>
    <row r="754" ht="14.25" customHeight="1">
      <c r="C754" s="10"/>
    </row>
    <row r="755" ht="14.25" customHeight="1">
      <c r="C755" s="10"/>
    </row>
    <row r="756" ht="14.25" customHeight="1">
      <c r="C756" s="10"/>
    </row>
    <row r="757" ht="14.25" customHeight="1">
      <c r="C757" s="10"/>
    </row>
    <row r="758" ht="14.25" customHeight="1">
      <c r="C758" s="10"/>
    </row>
    <row r="759" ht="14.25" customHeight="1">
      <c r="C759" s="10"/>
    </row>
    <row r="760" ht="14.25" customHeight="1">
      <c r="C760" s="10"/>
    </row>
    <row r="761" ht="14.25" customHeight="1">
      <c r="C761" s="10"/>
    </row>
    <row r="762" ht="14.25" customHeight="1">
      <c r="C762" s="10"/>
    </row>
    <row r="763" ht="14.25" customHeight="1">
      <c r="C763" s="10"/>
    </row>
    <row r="764" ht="14.25" customHeight="1">
      <c r="C764" s="10"/>
    </row>
    <row r="765" ht="14.25" customHeight="1">
      <c r="C765" s="10"/>
    </row>
    <row r="766" ht="14.25" customHeight="1">
      <c r="C766" s="10"/>
    </row>
    <row r="767" ht="14.25" customHeight="1">
      <c r="C767" s="10"/>
    </row>
    <row r="768" ht="14.25" customHeight="1">
      <c r="C768" s="10"/>
    </row>
    <row r="769" ht="14.25" customHeight="1">
      <c r="C769" s="10"/>
    </row>
    <row r="770" ht="14.25" customHeight="1">
      <c r="C770" s="10"/>
    </row>
    <row r="771" ht="14.25" customHeight="1">
      <c r="C771" s="10"/>
    </row>
    <row r="772" ht="14.25" customHeight="1">
      <c r="C772" s="10"/>
    </row>
    <row r="773" ht="14.25" customHeight="1">
      <c r="C773" s="10"/>
    </row>
    <row r="774" ht="14.25" customHeight="1">
      <c r="C774" s="10"/>
    </row>
    <row r="775" ht="14.25" customHeight="1">
      <c r="C775" s="10"/>
    </row>
    <row r="776" ht="14.25" customHeight="1">
      <c r="C776" s="10"/>
    </row>
    <row r="777" ht="14.25" customHeight="1">
      <c r="C777" s="10"/>
    </row>
    <row r="778" ht="14.25" customHeight="1">
      <c r="C778" s="10"/>
    </row>
    <row r="779" ht="14.25" customHeight="1">
      <c r="C779" s="10"/>
    </row>
    <row r="780" ht="14.25" customHeight="1">
      <c r="C780" s="10"/>
    </row>
    <row r="781" ht="14.25" customHeight="1">
      <c r="C781" s="10"/>
    </row>
    <row r="782" ht="14.25" customHeight="1">
      <c r="C782" s="10"/>
    </row>
    <row r="783" ht="14.25" customHeight="1">
      <c r="C783" s="10"/>
    </row>
    <row r="784" ht="14.25" customHeight="1">
      <c r="C784" s="10"/>
    </row>
    <row r="785" ht="14.25" customHeight="1">
      <c r="C785" s="10"/>
    </row>
    <row r="786" ht="14.25" customHeight="1">
      <c r="C786" s="10"/>
    </row>
    <row r="787" ht="14.25" customHeight="1">
      <c r="C787" s="10"/>
    </row>
    <row r="788" ht="14.25" customHeight="1">
      <c r="C788" s="10"/>
    </row>
    <row r="789" ht="14.25" customHeight="1">
      <c r="C789" s="10"/>
    </row>
    <row r="790" ht="14.25" customHeight="1">
      <c r="C790" s="10"/>
    </row>
    <row r="791" ht="14.25" customHeight="1">
      <c r="C791" s="10"/>
    </row>
    <row r="792" ht="14.25" customHeight="1">
      <c r="C792" s="10"/>
    </row>
    <row r="793" ht="14.25" customHeight="1">
      <c r="C793" s="10"/>
    </row>
    <row r="794" ht="14.25" customHeight="1">
      <c r="C794" s="10"/>
    </row>
    <row r="795" ht="14.25" customHeight="1">
      <c r="C795" s="10"/>
    </row>
    <row r="796" ht="14.25" customHeight="1">
      <c r="C796" s="10"/>
    </row>
    <row r="797" ht="14.25" customHeight="1">
      <c r="C797" s="10"/>
    </row>
    <row r="798" ht="14.25" customHeight="1">
      <c r="C798" s="10"/>
    </row>
    <row r="799" ht="14.25" customHeight="1">
      <c r="C799" s="10"/>
    </row>
    <row r="800" ht="14.25" customHeight="1">
      <c r="C800" s="10"/>
    </row>
    <row r="801" ht="14.25" customHeight="1">
      <c r="C801" s="10"/>
    </row>
    <row r="802" ht="14.25" customHeight="1">
      <c r="C802" s="10"/>
    </row>
    <row r="803" ht="14.25" customHeight="1">
      <c r="C803" s="10"/>
    </row>
    <row r="804" ht="14.25" customHeight="1">
      <c r="C804" s="10"/>
    </row>
    <row r="805" ht="14.25" customHeight="1">
      <c r="C805" s="10"/>
    </row>
    <row r="806" ht="14.25" customHeight="1">
      <c r="C806" s="10"/>
    </row>
    <row r="807" ht="14.25" customHeight="1">
      <c r="C807" s="10"/>
    </row>
    <row r="808" ht="14.25" customHeight="1">
      <c r="C808" s="10"/>
    </row>
    <row r="809" ht="14.25" customHeight="1">
      <c r="C809" s="10"/>
    </row>
    <row r="810" ht="14.25" customHeight="1">
      <c r="C810" s="10"/>
    </row>
    <row r="811" ht="14.25" customHeight="1">
      <c r="C811" s="10"/>
    </row>
    <row r="812" ht="14.25" customHeight="1">
      <c r="C812" s="10"/>
    </row>
    <row r="813" ht="14.25" customHeight="1">
      <c r="C813" s="10"/>
    </row>
    <row r="814" ht="14.25" customHeight="1">
      <c r="C814" s="10"/>
    </row>
    <row r="815" ht="14.25" customHeight="1">
      <c r="C815" s="10"/>
    </row>
    <row r="816" ht="14.25" customHeight="1">
      <c r="C816" s="10"/>
    </row>
    <row r="817" ht="14.25" customHeight="1">
      <c r="C817" s="10"/>
    </row>
    <row r="818" ht="14.25" customHeight="1">
      <c r="C818" s="10"/>
    </row>
    <row r="819" ht="14.25" customHeight="1">
      <c r="C819" s="10"/>
    </row>
    <row r="820" ht="14.25" customHeight="1">
      <c r="C820" s="10"/>
    </row>
    <row r="821" ht="14.25" customHeight="1">
      <c r="C821" s="10"/>
    </row>
    <row r="822" ht="14.25" customHeight="1">
      <c r="C822" s="10"/>
    </row>
    <row r="823" ht="14.25" customHeight="1">
      <c r="C823" s="10"/>
    </row>
    <row r="824" ht="14.25" customHeight="1">
      <c r="C824" s="10"/>
    </row>
    <row r="825" ht="14.25" customHeight="1">
      <c r="C825" s="10"/>
    </row>
    <row r="826" ht="14.25" customHeight="1">
      <c r="C826" s="10"/>
    </row>
    <row r="827" ht="14.25" customHeight="1">
      <c r="C827" s="10"/>
    </row>
    <row r="828" ht="14.25" customHeight="1">
      <c r="C828" s="10"/>
    </row>
    <row r="829" ht="14.25" customHeight="1">
      <c r="C829" s="10"/>
    </row>
    <row r="830" ht="14.25" customHeight="1">
      <c r="C830" s="10"/>
    </row>
    <row r="831" ht="14.25" customHeight="1">
      <c r="C831" s="10"/>
    </row>
    <row r="832" ht="14.25" customHeight="1">
      <c r="C832" s="10"/>
    </row>
    <row r="833" ht="14.25" customHeight="1">
      <c r="C833" s="10"/>
    </row>
    <row r="834" ht="14.25" customHeight="1">
      <c r="C834" s="10"/>
    </row>
    <row r="835" ht="14.25" customHeight="1">
      <c r="C835" s="10"/>
    </row>
    <row r="836" ht="14.25" customHeight="1">
      <c r="C836" s="10"/>
    </row>
    <row r="837" ht="14.25" customHeight="1">
      <c r="C837" s="10"/>
    </row>
    <row r="838" ht="14.25" customHeight="1">
      <c r="C838" s="10"/>
    </row>
    <row r="839" ht="14.25" customHeight="1">
      <c r="C839" s="10"/>
    </row>
    <row r="840" ht="14.25" customHeight="1">
      <c r="C840" s="10"/>
    </row>
    <row r="841" ht="14.25" customHeight="1">
      <c r="C841" s="10"/>
    </row>
    <row r="842" ht="14.25" customHeight="1">
      <c r="C842" s="10"/>
    </row>
    <row r="843" ht="14.25" customHeight="1">
      <c r="C843" s="10"/>
    </row>
    <row r="844" ht="14.25" customHeight="1">
      <c r="C844" s="10"/>
    </row>
    <row r="845" ht="14.25" customHeight="1">
      <c r="C845" s="10"/>
    </row>
    <row r="846" ht="14.25" customHeight="1">
      <c r="C846" s="10"/>
    </row>
    <row r="847" ht="14.25" customHeight="1">
      <c r="C847" s="10"/>
    </row>
    <row r="848" ht="14.25" customHeight="1">
      <c r="C848" s="10"/>
    </row>
    <row r="849" ht="14.25" customHeight="1">
      <c r="C849" s="10"/>
    </row>
    <row r="850" ht="14.25" customHeight="1">
      <c r="C850" s="10"/>
    </row>
    <row r="851" ht="14.25" customHeight="1">
      <c r="C851" s="10"/>
    </row>
    <row r="852" ht="14.25" customHeight="1">
      <c r="C852" s="10"/>
    </row>
    <row r="853" ht="14.25" customHeight="1">
      <c r="C853" s="10"/>
    </row>
    <row r="854" ht="14.25" customHeight="1">
      <c r="C854" s="10"/>
    </row>
    <row r="855" ht="14.25" customHeight="1">
      <c r="C855" s="10"/>
    </row>
    <row r="856" ht="14.25" customHeight="1">
      <c r="C856" s="10"/>
    </row>
    <row r="857" ht="14.25" customHeight="1">
      <c r="C857" s="10"/>
    </row>
    <row r="858" ht="14.25" customHeight="1">
      <c r="C858" s="10"/>
    </row>
    <row r="859" ht="14.25" customHeight="1">
      <c r="C859" s="10"/>
    </row>
    <row r="860" ht="14.25" customHeight="1">
      <c r="C860" s="10"/>
    </row>
    <row r="861" ht="14.25" customHeight="1">
      <c r="C861" s="10"/>
    </row>
    <row r="862" ht="14.25" customHeight="1">
      <c r="C862" s="10"/>
    </row>
    <row r="863" ht="14.25" customHeight="1">
      <c r="C863" s="10"/>
    </row>
    <row r="864" ht="14.25" customHeight="1">
      <c r="C864" s="10"/>
    </row>
    <row r="865" ht="14.25" customHeight="1">
      <c r="C865" s="10"/>
    </row>
    <row r="866" ht="14.25" customHeight="1">
      <c r="C866" s="10"/>
    </row>
    <row r="867" ht="14.25" customHeight="1">
      <c r="C867" s="10"/>
    </row>
    <row r="868" ht="14.25" customHeight="1">
      <c r="C868" s="10"/>
    </row>
    <row r="869" ht="14.25" customHeight="1">
      <c r="C869" s="10"/>
    </row>
    <row r="870" ht="14.25" customHeight="1">
      <c r="C870" s="10"/>
    </row>
    <row r="871" ht="14.25" customHeight="1">
      <c r="C871" s="10"/>
    </row>
    <row r="872" ht="14.25" customHeight="1">
      <c r="C872" s="10"/>
    </row>
    <row r="873" ht="14.25" customHeight="1">
      <c r="C873" s="10"/>
    </row>
    <row r="874" ht="14.25" customHeight="1">
      <c r="C874" s="10"/>
    </row>
    <row r="875" ht="14.25" customHeight="1">
      <c r="C875" s="10"/>
    </row>
    <row r="876" ht="14.25" customHeight="1">
      <c r="C876" s="10"/>
    </row>
    <row r="877" ht="14.25" customHeight="1">
      <c r="C877" s="10"/>
    </row>
    <row r="878" ht="14.25" customHeight="1">
      <c r="C878" s="10"/>
    </row>
    <row r="879" ht="14.25" customHeight="1">
      <c r="C879" s="10"/>
    </row>
    <row r="880" ht="14.25" customHeight="1">
      <c r="C880" s="10"/>
    </row>
    <row r="881" ht="14.25" customHeight="1">
      <c r="C881" s="10"/>
    </row>
    <row r="882" ht="14.25" customHeight="1">
      <c r="C882" s="10"/>
    </row>
    <row r="883" ht="14.25" customHeight="1">
      <c r="C883" s="10"/>
    </row>
    <row r="884" ht="14.25" customHeight="1">
      <c r="C884" s="10"/>
    </row>
    <row r="885" ht="14.25" customHeight="1">
      <c r="C885" s="10"/>
    </row>
    <row r="886" ht="14.25" customHeight="1">
      <c r="C886" s="10"/>
    </row>
    <row r="887" ht="14.25" customHeight="1">
      <c r="C887" s="10"/>
    </row>
    <row r="888" ht="14.25" customHeight="1">
      <c r="C888" s="10"/>
    </row>
    <row r="889" ht="14.25" customHeight="1">
      <c r="C889" s="10"/>
    </row>
    <row r="890" ht="14.25" customHeight="1">
      <c r="C890" s="10"/>
    </row>
    <row r="891" ht="14.25" customHeight="1">
      <c r="C891" s="10"/>
    </row>
    <row r="892" ht="14.25" customHeight="1">
      <c r="C892" s="10"/>
    </row>
    <row r="893" ht="14.25" customHeight="1">
      <c r="C893" s="10"/>
    </row>
    <row r="894" ht="14.25" customHeight="1">
      <c r="C894" s="10"/>
    </row>
    <row r="895" ht="14.25" customHeight="1">
      <c r="C895" s="10"/>
    </row>
    <row r="896" ht="14.25" customHeight="1">
      <c r="C896" s="10"/>
    </row>
    <row r="897" ht="14.25" customHeight="1">
      <c r="C897" s="10"/>
    </row>
    <row r="898" ht="14.25" customHeight="1">
      <c r="C898" s="10"/>
    </row>
    <row r="899" ht="14.25" customHeight="1">
      <c r="C899" s="10"/>
    </row>
    <row r="900" ht="14.25" customHeight="1">
      <c r="C900" s="10"/>
    </row>
    <row r="901" ht="14.25" customHeight="1">
      <c r="C901" s="10"/>
    </row>
    <row r="902" ht="14.25" customHeight="1">
      <c r="C902" s="10"/>
    </row>
    <row r="903" ht="14.25" customHeight="1">
      <c r="C903" s="10"/>
    </row>
    <row r="904" ht="14.25" customHeight="1">
      <c r="C904" s="10"/>
    </row>
    <row r="905" ht="14.25" customHeight="1">
      <c r="C905" s="10"/>
    </row>
    <row r="906" ht="14.25" customHeight="1">
      <c r="C906" s="10"/>
    </row>
    <row r="907" ht="14.25" customHeight="1">
      <c r="C907" s="10"/>
    </row>
    <row r="908" ht="14.25" customHeight="1">
      <c r="C908" s="10"/>
    </row>
    <row r="909" ht="14.25" customHeight="1">
      <c r="C909" s="10"/>
    </row>
    <row r="910" ht="14.25" customHeight="1">
      <c r="C910" s="10"/>
    </row>
    <row r="911" ht="14.25" customHeight="1">
      <c r="C911" s="10"/>
    </row>
    <row r="912" ht="14.25" customHeight="1">
      <c r="C912" s="10"/>
    </row>
    <row r="913" ht="14.25" customHeight="1">
      <c r="C913" s="10"/>
    </row>
    <row r="914" ht="14.25" customHeight="1">
      <c r="C914" s="10"/>
    </row>
    <row r="915" ht="14.25" customHeight="1">
      <c r="C915" s="10"/>
    </row>
    <row r="916" ht="14.25" customHeight="1">
      <c r="C916" s="10"/>
    </row>
    <row r="917" ht="14.25" customHeight="1">
      <c r="C917" s="10"/>
    </row>
    <row r="918" ht="14.25" customHeight="1">
      <c r="C918" s="10"/>
    </row>
    <row r="919" ht="14.25" customHeight="1">
      <c r="C919" s="10"/>
    </row>
    <row r="920" ht="14.25" customHeight="1">
      <c r="C920" s="10"/>
    </row>
    <row r="921" ht="14.25" customHeight="1">
      <c r="C921" s="10"/>
    </row>
    <row r="922" ht="14.25" customHeight="1">
      <c r="C922" s="10"/>
    </row>
    <row r="923" ht="14.25" customHeight="1">
      <c r="C923" s="10"/>
    </row>
    <row r="924" ht="14.25" customHeight="1">
      <c r="C924" s="10"/>
    </row>
    <row r="925" ht="14.25" customHeight="1">
      <c r="C925" s="10"/>
    </row>
    <row r="926" ht="14.25" customHeight="1">
      <c r="C926" s="10"/>
    </row>
    <row r="927" ht="14.25" customHeight="1">
      <c r="C927" s="10"/>
    </row>
    <row r="928" ht="14.25" customHeight="1">
      <c r="C928" s="10"/>
    </row>
    <row r="929" ht="14.25" customHeight="1">
      <c r="C929" s="10"/>
    </row>
    <row r="930" ht="14.25" customHeight="1">
      <c r="C930" s="10"/>
    </row>
    <row r="931" ht="14.25" customHeight="1">
      <c r="C931" s="10"/>
    </row>
    <row r="932" ht="14.25" customHeight="1">
      <c r="C932" s="10"/>
    </row>
    <row r="933" ht="14.25" customHeight="1">
      <c r="C933" s="10"/>
    </row>
    <row r="934" ht="14.25" customHeight="1">
      <c r="C934" s="10"/>
    </row>
    <row r="935" ht="14.25" customHeight="1">
      <c r="C935" s="10"/>
    </row>
    <row r="936" ht="14.25" customHeight="1">
      <c r="C936" s="10"/>
    </row>
    <row r="937" ht="14.25" customHeight="1">
      <c r="C937" s="10"/>
    </row>
    <row r="938" ht="14.25" customHeight="1">
      <c r="C938" s="10"/>
    </row>
    <row r="939" ht="14.25" customHeight="1">
      <c r="C939" s="10"/>
    </row>
    <row r="940" ht="14.25" customHeight="1">
      <c r="C940" s="10"/>
    </row>
    <row r="941" ht="14.25" customHeight="1">
      <c r="C941" s="10"/>
    </row>
    <row r="942" ht="14.25" customHeight="1">
      <c r="C942" s="10"/>
    </row>
    <row r="943" ht="14.25" customHeight="1">
      <c r="C943" s="10"/>
    </row>
    <row r="944" ht="14.25" customHeight="1">
      <c r="C944" s="10"/>
    </row>
    <row r="945" ht="14.25" customHeight="1">
      <c r="C945" s="10"/>
    </row>
    <row r="946" ht="14.25" customHeight="1">
      <c r="C946" s="10"/>
    </row>
    <row r="947" ht="14.25" customHeight="1">
      <c r="C947" s="10"/>
    </row>
    <row r="948" ht="14.25" customHeight="1">
      <c r="C948" s="10"/>
    </row>
    <row r="949" ht="14.25" customHeight="1">
      <c r="C949" s="10"/>
    </row>
    <row r="950" ht="14.25" customHeight="1">
      <c r="C950" s="10"/>
    </row>
    <row r="951" ht="14.25" customHeight="1">
      <c r="C951" s="10"/>
    </row>
    <row r="952" ht="14.25" customHeight="1">
      <c r="C952" s="10"/>
    </row>
    <row r="953" ht="14.25" customHeight="1">
      <c r="C953" s="10"/>
    </row>
    <row r="954" ht="14.25" customHeight="1">
      <c r="C954" s="10"/>
    </row>
    <row r="955" ht="14.25" customHeight="1">
      <c r="C955" s="10"/>
    </row>
    <row r="956" ht="14.25" customHeight="1">
      <c r="C956" s="10"/>
    </row>
    <row r="957" ht="14.25" customHeight="1">
      <c r="C957" s="10"/>
    </row>
    <row r="958" ht="14.25" customHeight="1">
      <c r="C958" s="10"/>
    </row>
    <row r="959" ht="14.25" customHeight="1">
      <c r="C959" s="10"/>
    </row>
    <row r="960" ht="14.25" customHeight="1">
      <c r="C960" s="10"/>
    </row>
    <row r="961" ht="14.25" customHeight="1">
      <c r="C961" s="10"/>
    </row>
    <row r="962" ht="14.25" customHeight="1">
      <c r="C962" s="10"/>
    </row>
    <row r="963" ht="14.25" customHeight="1">
      <c r="C963" s="10"/>
    </row>
    <row r="964" ht="14.25" customHeight="1">
      <c r="C964" s="10"/>
    </row>
    <row r="965" ht="14.25" customHeight="1">
      <c r="C965" s="10"/>
    </row>
    <row r="966" ht="14.25" customHeight="1">
      <c r="C966" s="10"/>
    </row>
    <row r="967" ht="14.25" customHeight="1">
      <c r="C967" s="10"/>
    </row>
    <row r="968" ht="14.25" customHeight="1">
      <c r="C968" s="10"/>
    </row>
    <row r="969" ht="14.25" customHeight="1">
      <c r="C969" s="10"/>
    </row>
    <row r="970" ht="14.25" customHeight="1">
      <c r="C970" s="10"/>
    </row>
    <row r="971" ht="14.25" customHeight="1">
      <c r="C971" s="10"/>
    </row>
    <row r="972" ht="14.25" customHeight="1">
      <c r="C972" s="10"/>
    </row>
    <row r="973" ht="14.25" customHeight="1">
      <c r="C973" s="10"/>
    </row>
    <row r="974" ht="14.25" customHeight="1">
      <c r="C974" s="10"/>
    </row>
    <row r="975" ht="14.25" customHeight="1">
      <c r="C975" s="10"/>
    </row>
    <row r="976" ht="14.25" customHeight="1">
      <c r="C976" s="10"/>
    </row>
    <row r="977" ht="14.25" customHeight="1">
      <c r="C977" s="10"/>
    </row>
    <row r="978" ht="14.25" customHeight="1">
      <c r="C978" s="10"/>
    </row>
    <row r="979" ht="14.25" customHeight="1">
      <c r="C979" s="10"/>
    </row>
    <row r="980" ht="14.25" customHeight="1">
      <c r="C980" s="10"/>
    </row>
    <row r="981" ht="14.25" customHeight="1">
      <c r="C981" s="10"/>
    </row>
    <row r="982" ht="14.25" customHeight="1">
      <c r="C982" s="10"/>
    </row>
    <row r="983" ht="14.25" customHeight="1">
      <c r="C983" s="10"/>
    </row>
    <row r="984" ht="14.25" customHeight="1">
      <c r="C984" s="10"/>
    </row>
    <row r="985" ht="14.25" customHeight="1">
      <c r="C985" s="10"/>
    </row>
    <row r="986" ht="14.25" customHeight="1">
      <c r="C986" s="10"/>
    </row>
    <row r="987" ht="14.25" customHeight="1">
      <c r="C987" s="10"/>
    </row>
    <row r="988" ht="14.25" customHeight="1">
      <c r="C988" s="10"/>
    </row>
    <row r="989" ht="14.25" customHeight="1">
      <c r="C989" s="10"/>
    </row>
    <row r="990" ht="14.25" customHeight="1">
      <c r="C990" s="10"/>
    </row>
    <row r="991" ht="14.25" customHeight="1">
      <c r="C991" s="10"/>
    </row>
    <row r="992" ht="14.25" customHeight="1">
      <c r="C992" s="10"/>
    </row>
    <row r="993" ht="14.25" customHeight="1">
      <c r="C993" s="10"/>
    </row>
    <row r="994" ht="14.25" customHeight="1">
      <c r="C994" s="10"/>
    </row>
    <row r="995" ht="14.25" customHeight="1">
      <c r="C995" s="10"/>
    </row>
    <row r="996" ht="14.25" customHeight="1">
      <c r="C996" s="10"/>
    </row>
    <row r="997" ht="14.25" customHeight="1">
      <c r="C997" s="10"/>
    </row>
    <row r="998" ht="14.25" customHeight="1">
      <c r="C998" s="10"/>
    </row>
    <row r="999" ht="14.25" customHeight="1">
      <c r="C999" s="10"/>
    </row>
    <row r="1000" ht="14.25" customHeight="1">
      <c r="C1000" s="10"/>
    </row>
  </sheetData>
  <mergeCells count="6">
    <mergeCell ref="E4:I4"/>
    <mergeCell ref="B24:B25"/>
    <mergeCell ref="B28:B34"/>
    <mergeCell ref="B37:B38"/>
    <mergeCell ref="B41:B43"/>
    <mergeCell ref="B48:B51"/>
  </mergeCells>
  <conditionalFormatting sqref="E52">
    <cfRule type="cellIs" dxfId="0" priority="1" operator="lessThan">
      <formula>0</formula>
    </cfRule>
  </conditionalFormatting>
  <conditionalFormatting sqref="E52">
    <cfRule type="cellIs" dxfId="1" priority="2" operator="greaterThan">
      <formula>0</formula>
    </cfRule>
  </conditionalFormatting>
  <conditionalFormatting sqref="E52">
    <cfRule type="cellIs" dxfId="1" priority="3" operator="equal">
      <formula>0</formula>
    </cfRule>
  </conditionalFormatting>
  <conditionalFormatting sqref="E45:I45">
    <cfRule type="cellIs" dxfId="1" priority="4" operator="equal">
      <formula>0</formula>
    </cfRule>
  </conditionalFormatting>
  <hyperlinks>
    <hyperlink r:id="rId4" ref="E6"/>
    <hyperlink r:id="rId5" ref="C7"/>
    <hyperlink display="Summary Financials" location="'Summary Financials'!A1" ref="K7"/>
    <hyperlink display="P&amp;L Statement" location="'P&amp;L Statement'!A1" ref="K8"/>
    <hyperlink r:id="rId6" ref="C9"/>
    <hyperlink display="Balance Sheet" location="'Balance Sheet'!A1" ref="K9"/>
    <hyperlink r:id="rId7" ref="C10"/>
    <hyperlink display="Cash Flow Statement" location="'Cash Flow Statement'!A1" ref="K10"/>
    <hyperlink r:id="rId8" ref="C11"/>
    <hyperlink display="Returns on Invested Capital" location="'Returns on Invested Capital'!A1" ref="K11"/>
    <hyperlink r:id="rId9" ref="C12"/>
    <hyperlink display="Valuation" location="Valuation!A1" ref="K12"/>
    <hyperlink r:id="rId10" ref="C13"/>
    <hyperlink display="Model" location="Model!A1" ref="K13"/>
    <hyperlink r:id="rId11" ref="C21"/>
    <hyperlink r:id="rId12" ref="C24"/>
    <hyperlink r:id="rId13" ref="C28"/>
    <hyperlink r:id="rId14" ref="C29"/>
    <hyperlink r:id="rId15" ref="C30"/>
    <hyperlink r:id="rId16" ref="C31"/>
    <hyperlink r:id="rId17" ref="C32"/>
    <hyperlink r:id="rId18" ref="C33"/>
    <hyperlink r:id="rId19" ref="C34"/>
    <hyperlink r:id="rId20" ref="C38"/>
    <hyperlink r:id="rId21" ref="C41"/>
    <hyperlink r:id="rId22" ref="C48"/>
    <hyperlink r:id="rId23" ref="C55"/>
  </hyperlinks>
  <printOptions/>
  <pageMargins bottom="0.7480314960629921" footer="0.0" header="0.0" left="0.7086614173228347" right="0.7086614173228347" top="0.7480314960629921"/>
  <pageSetup fitToHeight="0" paperSize="9" orientation="portrait"/>
  <drawing r:id="rId24"/>
  <legacy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3"/>
    <col customWidth="1" min="2" max="2" width="34.14"/>
    <col customWidth="1" min="3" max="3" width="12.29"/>
    <col customWidth="1" min="4" max="4" width="4.29"/>
    <col customWidth="1" min="5" max="9" width="13.43"/>
    <col customWidth="1" min="10" max="10" width="4.0"/>
    <col customWidth="1" min="11" max="32" width="8.86"/>
  </cols>
  <sheetData>
    <row r="1" ht="14.25" hidden="1" customHeight="1">
      <c r="A1" s="71"/>
      <c r="B1" s="72" t="s">
        <v>105</v>
      </c>
      <c r="C1" s="73"/>
      <c r="D1" s="74"/>
      <c r="E1" s="74">
        <f>'Input Assumptions'!E$18</f>
        <v>1</v>
      </c>
      <c r="F1" s="74">
        <f>'Input Assumptions'!F$18</f>
        <v>2</v>
      </c>
      <c r="G1" s="74">
        <f>'Input Assumptions'!G$18</f>
        <v>3</v>
      </c>
      <c r="H1" s="74">
        <f>'Input Assumptions'!H$18</f>
        <v>4</v>
      </c>
      <c r="I1" s="74">
        <f>'Input Assumptions'!I$18</f>
        <v>5</v>
      </c>
    </row>
    <row r="2" ht="14.25" customHeight="1">
      <c r="A2" s="71"/>
      <c r="B2" s="75"/>
      <c r="C2" s="75"/>
      <c r="D2" s="75"/>
      <c r="E2" s="76" t="str">
        <f>Model!E$13</f>
        <v>2024-2025</v>
      </c>
      <c r="F2" s="76" t="str">
        <f>Model!F$13</f>
        <v>2025-2026</v>
      </c>
      <c r="G2" s="76" t="str">
        <f>Model!G$13</f>
        <v>2026-2027</v>
      </c>
      <c r="H2" s="76" t="str">
        <f>Model!H$13</f>
        <v>2027-2028</v>
      </c>
      <c r="I2" s="76" t="str">
        <f>Model!I$13</f>
        <v>2028-2029</v>
      </c>
    </row>
    <row r="3" ht="14.25" customHeight="1">
      <c r="A3" s="71"/>
      <c r="B3" s="77"/>
      <c r="C3" s="78"/>
      <c r="D3" s="77"/>
      <c r="E3" s="79" t="str">
        <f>Model!E$12</f>
        <v>Year 1</v>
      </c>
      <c r="F3" s="79" t="str">
        <f>Model!F$12</f>
        <v>Year 2</v>
      </c>
      <c r="G3" s="79" t="str">
        <f>Model!G$12</f>
        <v>Year 3</v>
      </c>
      <c r="H3" s="79" t="str">
        <f>Model!H$12</f>
        <v>Year 4</v>
      </c>
      <c r="I3" s="79" t="str">
        <f>Model!I$12</f>
        <v>Year 5</v>
      </c>
    </row>
    <row r="4" ht="7.5" customHeight="1">
      <c r="A4" s="80"/>
      <c r="B4" s="75"/>
      <c r="C4" s="81"/>
      <c r="D4" s="82"/>
      <c r="E4" s="82"/>
      <c r="F4" s="82"/>
      <c r="G4" s="82"/>
      <c r="H4" s="82"/>
      <c r="I4" s="82"/>
    </row>
    <row r="5" ht="14.25" customHeight="1">
      <c r="A5" s="80"/>
      <c r="B5" s="83" t="s">
        <v>55</v>
      </c>
      <c r="C5" s="84"/>
      <c r="D5" s="84"/>
      <c r="E5" s="85" t="str">
        <f t="shared" ref="E5:I5" si="1">Curr_USD</f>
        <v>$ USD</v>
      </c>
      <c r="F5" s="85" t="str">
        <f t="shared" si="1"/>
        <v>$ USD</v>
      </c>
      <c r="G5" s="85" t="str">
        <f t="shared" si="1"/>
        <v>$ USD</v>
      </c>
      <c r="H5" s="85" t="str">
        <f t="shared" si="1"/>
        <v>$ USD</v>
      </c>
      <c r="I5" s="85" t="str">
        <f t="shared" si="1"/>
        <v>$ USD</v>
      </c>
    </row>
    <row r="6" ht="7.5" customHeight="1">
      <c r="A6" s="80"/>
      <c r="B6" s="75"/>
      <c r="C6" s="81"/>
      <c r="D6" s="82"/>
      <c r="E6" s="82"/>
      <c r="F6" s="82"/>
      <c r="G6" s="82"/>
      <c r="H6" s="82"/>
      <c r="I6" s="82"/>
    </row>
    <row r="7" ht="14.25" customHeight="1">
      <c r="A7" s="80"/>
      <c r="B7" s="86" t="s">
        <v>106</v>
      </c>
      <c r="C7" s="87"/>
      <c r="D7" s="88"/>
      <c r="E7" s="89">
        <f>Model!E$24</f>
        <v>0.549537037</v>
      </c>
      <c r="F7" s="89">
        <f>Model!F$24</f>
        <v>0.5163888889</v>
      </c>
      <c r="G7" s="89">
        <f>Model!G$24</f>
        <v>0.1</v>
      </c>
      <c r="H7" s="89">
        <f>Model!H$24</f>
        <v>0.08</v>
      </c>
      <c r="I7" s="89">
        <f>Model!I$24</f>
        <v>0.08</v>
      </c>
    </row>
    <row r="8" ht="7.5" customHeight="1">
      <c r="A8" s="80"/>
      <c r="B8" s="75"/>
      <c r="C8" s="75"/>
      <c r="D8" s="75"/>
      <c r="E8" s="75"/>
      <c r="F8" s="75"/>
      <c r="G8" s="75"/>
      <c r="H8" s="75"/>
      <c r="I8" s="75"/>
    </row>
    <row r="9" ht="14.25" customHeight="1">
      <c r="A9" s="80"/>
      <c r="B9" s="75" t="s">
        <v>76</v>
      </c>
      <c r="C9" s="75"/>
      <c r="D9" s="82"/>
      <c r="E9" s="90">
        <f>Model!E$26</f>
        <v>289602.7213</v>
      </c>
      <c r="F9" s="90">
        <f>Model!F$26</f>
        <v>511549.5228</v>
      </c>
      <c r="G9" s="90">
        <f>Model!G$26</f>
        <v>593591.9543</v>
      </c>
      <c r="H9" s="90">
        <f>Model!H$26</f>
        <v>648639.9653</v>
      </c>
      <c r="I9" s="90">
        <f>Model!I$26</f>
        <v>702476.7625</v>
      </c>
    </row>
    <row r="10" ht="7.5" customHeight="1">
      <c r="A10" s="80"/>
      <c r="B10" s="75"/>
      <c r="C10" s="81"/>
      <c r="D10" s="82"/>
      <c r="E10" s="82"/>
      <c r="F10" s="82"/>
      <c r="G10" s="82"/>
      <c r="H10" s="82"/>
      <c r="I10" s="82"/>
    </row>
    <row r="11" ht="14.25" customHeight="1">
      <c r="A11" s="91"/>
      <c r="B11" s="92" t="s">
        <v>107</v>
      </c>
      <c r="C11" s="92"/>
      <c r="D11" s="85"/>
      <c r="E11" s="93">
        <f>Model!E$35</f>
        <v>-92672.87081</v>
      </c>
      <c r="F11" s="93">
        <f>Model!F$35</f>
        <v>-163695.8473</v>
      </c>
      <c r="G11" s="93">
        <f>Model!G$35</f>
        <v>-189949.4254</v>
      </c>
      <c r="H11" s="93">
        <f>Model!H$35</f>
        <v>-207564.7889</v>
      </c>
      <c r="I11" s="93">
        <f>Model!I$35</f>
        <v>-224792.564</v>
      </c>
    </row>
    <row r="12" ht="14.25" customHeight="1">
      <c r="A12" s="80"/>
      <c r="B12" s="94" t="s">
        <v>108</v>
      </c>
      <c r="C12" s="95"/>
      <c r="D12" s="96"/>
      <c r="E12" s="97">
        <f t="array" ref="E12">INDEX(Materials_COGs,E$1)</f>
        <v>0.32</v>
      </c>
      <c r="F12" s="97">
        <f t="array" ref="F12">INDEX(Materials_COGs,F$1)</f>
        <v>0.32</v>
      </c>
      <c r="G12" s="97">
        <f t="array" ref="G12">INDEX(Materials_COGs,G$1)</f>
        <v>0.32</v>
      </c>
      <c r="H12" s="97">
        <f t="array" ref="H12">INDEX(Materials_COGs,H$1)</f>
        <v>0.32</v>
      </c>
      <c r="I12" s="97">
        <f t="array" ref="I12">INDEX(Materials_COGs,I$1)</f>
        <v>0.32</v>
      </c>
    </row>
    <row r="13" ht="7.5" customHeight="1">
      <c r="A13" s="80"/>
      <c r="B13" s="75"/>
      <c r="C13" s="81"/>
      <c r="D13" s="82"/>
      <c r="E13" s="82"/>
      <c r="F13" s="82"/>
      <c r="G13" s="82"/>
      <c r="H13" s="82"/>
      <c r="I13" s="82"/>
    </row>
    <row r="14" ht="14.25" customHeight="1">
      <c r="A14" s="80"/>
      <c r="B14" s="98" t="s">
        <v>109</v>
      </c>
      <c r="C14" s="98"/>
      <c r="D14" s="99"/>
      <c r="E14" s="100">
        <f t="shared" ref="E14:I14" si="2">E9+E11</f>
        <v>196929.8505</v>
      </c>
      <c r="F14" s="100">
        <f t="shared" si="2"/>
        <v>347853.6755</v>
      </c>
      <c r="G14" s="100">
        <f t="shared" si="2"/>
        <v>403642.5289</v>
      </c>
      <c r="H14" s="100">
        <f t="shared" si="2"/>
        <v>441075.1764</v>
      </c>
      <c r="I14" s="100">
        <f t="shared" si="2"/>
        <v>477684.1985</v>
      </c>
    </row>
    <row r="15" ht="14.25" customHeight="1">
      <c r="A15" s="80"/>
      <c r="B15" s="94" t="s">
        <v>110</v>
      </c>
      <c r="C15" s="95"/>
      <c r="D15" s="96"/>
      <c r="E15" s="97">
        <f t="shared" ref="E15:I15" si="3">IFERROR(E14/E$9,0)</f>
        <v>0.68</v>
      </c>
      <c r="F15" s="97">
        <f t="shared" si="3"/>
        <v>0.68</v>
      </c>
      <c r="G15" s="97">
        <f t="shared" si="3"/>
        <v>0.68</v>
      </c>
      <c r="H15" s="97">
        <f t="shared" si="3"/>
        <v>0.68</v>
      </c>
      <c r="I15" s="97">
        <f t="shared" si="3"/>
        <v>0.68</v>
      </c>
    </row>
    <row r="16" ht="7.5" customHeight="1">
      <c r="A16" s="80"/>
      <c r="B16" s="75"/>
      <c r="C16" s="81"/>
      <c r="D16" s="82"/>
      <c r="E16" s="82"/>
      <c r="F16" s="82"/>
      <c r="G16" s="82"/>
      <c r="H16" s="82"/>
      <c r="I16" s="82"/>
    </row>
    <row r="17" ht="14.25" customHeight="1">
      <c r="A17" s="91"/>
      <c r="B17" s="92" t="s">
        <v>111</v>
      </c>
      <c r="C17" s="92"/>
      <c r="D17" s="85"/>
      <c r="E17" s="93">
        <f>Model!E$42</f>
        <v>-43440.40819</v>
      </c>
      <c r="F17" s="93">
        <f>Model!F$42</f>
        <v>-76732.42842</v>
      </c>
      <c r="G17" s="93">
        <f>Model!G$42</f>
        <v>-89038.79314</v>
      </c>
      <c r="H17" s="93">
        <f>Model!H$42</f>
        <v>-97295.9948</v>
      </c>
      <c r="I17" s="93">
        <f>Model!I$42</f>
        <v>-105371.5144</v>
      </c>
    </row>
    <row r="18" ht="14.25" customHeight="1">
      <c r="A18" s="80"/>
      <c r="B18" s="94" t="s">
        <v>112</v>
      </c>
      <c r="C18" s="95"/>
      <c r="D18" s="96"/>
      <c r="E18" s="97">
        <f t="array" ref="E18">INDEX(Direct_Labor_Cost,E$1)</f>
        <v>0.15</v>
      </c>
      <c r="F18" s="97">
        <f t="array" ref="F18">INDEX(Direct_Labor_Cost,F$1)</f>
        <v>0.15</v>
      </c>
      <c r="G18" s="97">
        <f t="array" ref="G18">INDEX(Direct_Labor_Cost,G$1)</f>
        <v>0.15</v>
      </c>
      <c r="H18" s="97">
        <f t="array" ref="H18">INDEX(Direct_Labor_Cost,H$1)</f>
        <v>0.15</v>
      </c>
      <c r="I18" s="97">
        <f t="array" ref="I18">INDEX(Direct_Labor_Cost,I$1)</f>
        <v>0.15</v>
      </c>
    </row>
    <row r="19" ht="14.25" customHeight="1">
      <c r="A19" s="80"/>
      <c r="B19" s="94" t="s">
        <v>113</v>
      </c>
      <c r="C19" s="95"/>
      <c r="D19" s="96"/>
      <c r="E19" s="97">
        <f t="shared" ref="E19:I19" si="4">IFERROR((E14+E17)/E$9,0)</f>
        <v>0.53</v>
      </c>
      <c r="F19" s="97">
        <f t="shared" si="4"/>
        <v>0.53</v>
      </c>
      <c r="G19" s="97">
        <f t="shared" si="4"/>
        <v>0.53</v>
      </c>
      <c r="H19" s="97">
        <f t="shared" si="4"/>
        <v>0.53</v>
      </c>
      <c r="I19" s="97">
        <f t="shared" si="4"/>
        <v>0.53</v>
      </c>
    </row>
    <row r="20" ht="7.5" customHeight="1">
      <c r="A20" s="80"/>
      <c r="B20" s="75"/>
      <c r="C20" s="81"/>
      <c r="D20" s="82"/>
      <c r="E20" s="82"/>
      <c r="F20" s="82"/>
      <c r="G20" s="82"/>
      <c r="H20" s="82"/>
      <c r="I20" s="82"/>
    </row>
    <row r="21" ht="14.25" customHeight="1">
      <c r="A21" s="80"/>
      <c r="B21" s="101" t="s">
        <v>114</v>
      </c>
      <c r="C21" s="101"/>
      <c r="D21" s="102"/>
      <c r="E21" s="103">
        <f>Model!E$67</f>
        <v>-165531.2993</v>
      </c>
      <c r="F21" s="103">
        <f>Model!F$67</f>
        <v>-186480.0645</v>
      </c>
      <c r="G21" s="103">
        <f>Model!G$67</f>
        <v>-199144.2759</v>
      </c>
      <c r="H21" s="103">
        <f>Model!H$67</f>
        <v>-214950.0308</v>
      </c>
      <c r="I21" s="103">
        <f>Model!I$67</f>
        <v>-230474.2177</v>
      </c>
    </row>
    <row r="22" ht="14.25" customHeight="1">
      <c r="A22" s="80"/>
      <c r="B22" s="94" t="s">
        <v>115</v>
      </c>
      <c r="C22" s="95"/>
      <c r="D22" s="96"/>
      <c r="E22" s="97">
        <f t="shared" ref="E22:I22" si="5">IFERROR(E$21/E$9,0)</f>
        <v>-0.5715806074</v>
      </c>
      <c r="F22" s="97">
        <f t="shared" si="5"/>
        <v>-0.3645396118</v>
      </c>
      <c r="G22" s="97">
        <f t="shared" si="5"/>
        <v>-0.3354901873</v>
      </c>
      <c r="H22" s="97">
        <f t="shared" si="5"/>
        <v>-0.3313857337</v>
      </c>
      <c r="I22" s="97">
        <f t="shared" si="5"/>
        <v>-0.3280880308</v>
      </c>
    </row>
    <row r="23" ht="7.5" customHeight="1">
      <c r="A23" s="80"/>
      <c r="B23" s="75"/>
      <c r="C23" s="81"/>
      <c r="D23" s="82"/>
      <c r="E23" s="82"/>
      <c r="F23" s="82"/>
      <c r="G23" s="82"/>
      <c r="H23" s="82"/>
      <c r="I23" s="82"/>
    </row>
    <row r="24" ht="14.25" customHeight="1">
      <c r="A24" s="80"/>
      <c r="B24" s="98" t="s">
        <v>8</v>
      </c>
      <c r="C24" s="98"/>
      <c r="D24" s="99"/>
      <c r="E24" s="100">
        <f>Model!E70</f>
        <v>-32314.04755</v>
      </c>
      <c r="F24" s="100">
        <f>Model!F70</f>
        <v>48832.71601</v>
      </c>
      <c r="G24" s="100">
        <f>Model!G70</f>
        <v>73908.02304</v>
      </c>
      <c r="H24" s="100">
        <f>Model!H70</f>
        <v>83424.3532</v>
      </c>
      <c r="I24" s="100">
        <f>Model!I70</f>
        <v>92665.09306</v>
      </c>
    </row>
    <row r="25" ht="14.25" customHeight="1">
      <c r="A25" s="80"/>
      <c r="B25" s="94" t="s">
        <v>116</v>
      </c>
      <c r="C25" s="95"/>
      <c r="D25" s="96"/>
      <c r="E25" s="97">
        <f>Model!E71</f>
        <v>-0.1115806074</v>
      </c>
      <c r="F25" s="97">
        <f>Model!F71</f>
        <v>0.09546038816</v>
      </c>
      <c r="G25" s="97">
        <f>Model!G71</f>
        <v>0.1245098127</v>
      </c>
      <c r="H25" s="97">
        <f>Model!H71</f>
        <v>0.1286142663</v>
      </c>
      <c r="I25" s="97">
        <f>Model!I71</f>
        <v>0.1319119692</v>
      </c>
    </row>
    <row r="26" ht="7.5" customHeight="1">
      <c r="A26" s="80"/>
      <c r="B26" s="75"/>
      <c r="C26" s="81"/>
      <c r="D26" s="82"/>
      <c r="E26" s="82"/>
      <c r="F26" s="82"/>
      <c r="G26" s="82"/>
      <c r="H26" s="82"/>
      <c r="I26" s="82"/>
    </row>
    <row r="27" ht="14.25" customHeight="1">
      <c r="A27" s="91"/>
      <c r="B27" s="92" t="str">
        <f>Model!B73</f>
        <v>Depreciation &amp; Amortization</v>
      </c>
      <c r="C27" s="92"/>
      <c r="D27" s="85"/>
      <c r="E27" s="93">
        <f>Model!E73</f>
        <v>-44456.25</v>
      </c>
      <c r="F27" s="93">
        <f>Model!F73</f>
        <v>-44456.25</v>
      </c>
      <c r="G27" s="93">
        <f>Model!G73</f>
        <v>-44456.25</v>
      </c>
      <c r="H27" s="93">
        <f>Model!H73</f>
        <v>-44456.25</v>
      </c>
      <c r="I27" s="93">
        <f>Model!I73</f>
        <v>0</v>
      </c>
    </row>
    <row r="28" ht="14.25" customHeight="1">
      <c r="A28" s="91"/>
      <c r="B28" s="92" t="str">
        <f>Model!B76</f>
        <v>Interest</v>
      </c>
      <c r="C28" s="92"/>
      <c r="D28" s="85"/>
      <c r="E28" s="93">
        <f>Model!E76</f>
        <v>-24089.625</v>
      </c>
      <c r="F28" s="93">
        <f>Model!F76</f>
        <v>-21994.875</v>
      </c>
      <c r="G28" s="93">
        <f>Model!G76</f>
        <v>-19900.125</v>
      </c>
      <c r="H28" s="93">
        <f>Model!H76</f>
        <v>-17805.375</v>
      </c>
      <c r="I28" s="93">
        <f>Model!I76</f>
        <v>-15710.625</v>
      </c>
    </row>
    <row r="29" ht="7.5" customHeight="1">
      <c r="A29" s="80"/>
      <c r="B29" s="75"/>
      <c r="C29" s="75"/>
      <c r="D29" s="75"/>
      <c r="E29" s="75"/>
      <c r="F29" s="75"/>
      <c r="G29" s="75"/>
      <c r="H29" s="75"/>
      <c r="I29" s="75"/>
    </row>
    <row r="30" ht="14.25" customHeight="1">
      <c r="A30" s="80"/>
      <c r="B30" s="98" t="str">
        <f>Model!B78</f>
        <v>Net Profit Before Tax</v>
      </c>
      <c r="C30" s="61" t="s">
        <v>51</v>
      </c>
      <c r="D30" s="99"/>
      <c r="E30" s="100">
        <f>Model!E78</f>
        <v>-100859.9225</v>
      </c>
      <c r="F30" s="100">
        <f>Model!F78</f>
        <v>-17618.40899</v>
      </c>
      <c r="G30" s="100">
        <f>Model!G78</f>
        <v>9551.648035</v>
      </c>
      <c r="H30" s="100">
        <f>Model!H78</f>
        <v>21162.7282</v>
      </c>
      <c r="I30" s="100">
        <f>Model!I78</f>
        <v>76954.46806</v>
      </c>
    </row>
    <row r="31" ht="14.25" customHeight="1">
      <c r="A31" s="80"/>
      <c r="B31" s="94" t="str">
        <f>Model!B79</f>
        <v>Net PBT(as % of revenue)</v>
      </c>
      <c r="C31" s="95"/>
      <c r="D31" s="96"/>
      <c r="E31" s="97">
        <f>Model!E79</f>
        <v>-0.3482699406</v>
      </c>
      <c r="F31" s="97">
        <f>Model!F79</f>
        <v>-0.0344412578</v>
      </c>
      <c r="G31" s="97">
        <f>Model!G79</f>
        <v>0.01609126938</v>
      </c>
      <c r="H31" s="97">
        <f>Model!H79</f>
        <v>0.03262630941</v>
      </c>
      <c r="I31" s="97">
        <f>Model!I79</f>
        <v>0.1095473504</v>
      </c>
    </row>
    <row r="32" ht="14.25" customHeight="1">
      <c r="A32" s="80"/>
      <c r="B32" s="75"/>
      <c r="C32" s="75"/>
      <c r="D32" s="75"/>
      <c r="E32" s="75"/>
      <c r="F32" s="75"/>
      <c r="G32" s="75"/>
      <c r="H32" s="75"/>
      <c r="I32" s="75"/>
    </row>
    <row r="33" ht="14.25" customHeight="1">
      <c r="A33" s="61"/>
      <c r="B33" s="98" t="s">
        <v>117</v>
      </c>
      <c r="C33" s="61" t="s">
        <v>51</v>
      </c>
      <c r="D33" s="99"/>
      <c r="E33" s="100">
        <f>E30-'Input Assumptions'!E38</f>
        <v>-155859.9225</v>
      </c>
      <c r="F33" s="100">
        <f>F30-'Input Assumptions'!F38</f>
        <v>-17618.40899</v>
      </c>
      <c r="G33" s="100">
        <f>G30-'Input Assumptions'!G38</f>
        <v>9551.648035</v>
      </c>
      <c r="H33" s="100">
        <f>H30-'Input Assumptions'!H38</f>
        <v>21162.7282</v>
      </c>
      <c r="I33" s="100">
        <f>I30-'Input Assumptions'!I38</f>
        <v>76954.46806</v>
      </c>
    </row>
    <row r="34" ht="14.25" customHeight="1">
      <c r="A34" s="91"/>
      <c r="B34" s="94" t="s">
        <v>118</v>
      </c>
      <c r="C34" s="95"/>
      <c r="D34" s="96"/>
      <c r="E34" s="97">
        <f t="shared" ref="E34:I34" si="6">E33/E9</f>
        <v>-0.5381852831</v>
      </c>
      <c r="F34" s="97">
        <f t="shared" si="6"/>
        <v>-0.0344412578</v>
      </c>
      <c r="G34" s="97">
        <f t="shared" si="6"/>
        <v>0.01609126938</v>
      </c>
      <c r="H34" s="97">
        <f t="shared" si="6"/>
        <v>0.03262630941</v>
      </c>
      <c r="I34" s="97">
        <f t="shared" si="6"/>
        <v>0.1095473504</v>
      </c>
    </row>
    <row r="35" ht="14.25" customHeight="1">
      <c r="A35" s="91"/>
      <c r="B35" s="104"/>
      <c r="C35" s="105"/>
      <c r="D35" s="105"/>
      <c r="E35" s="105"/>
      <c r="F35" s="105"/>
      <c r="G35" s="105"/>
      <c r="H35" s="105"/>
      <c r="I35" s="105"/>
    </row>
    <row r="36" ht="7.5" customHeight="1">
      <c r="A36" s="80"/>
      <c r="B36" s="75"/>
      <c r="C36" s="75"/>
      <c r="D36" s="75"/>
      <c r="E36" s="75"/>
      <c r="F36" s="75"/>
      <c r="G36" s="75"/>
      <c r="H36" s="75"/>
      <c r="I36" s="75"/>
    </row>
    <row r="37" ht="14.25" customHeight="1">
      <c r="A37" s="106"/>
      <c r="B37" s="75"/>
      <c r="C37" s="75"/>
      <c r="D37" s="75"/>
      <c r="E37" s="75"/>
      <c r="F37" s="75"/>
      <c r="G37" s="75"/>
      <c r="H37" s="75"/>
      <c r="I37" s="75"/>
    </row>
    <row r="38" ht="14.25" customHeight="1">
      <c r="A38" s="106"/>
      <c r="B38" s="83" t="s">
        <v>119</v>
      </c>
      <c r="C38" s="107" t="s">
        <v>51</v>
      </c>
      <c r="D38" s="84"/>
      <c r="E38" s="84"/>
      <c r="F38" s="84"/>
      <c r="G38" s="84"/>
      <c r="H38" s="84"/>
      <c r="I38" s="84"/>
      <c r="L38" s="108" t="s">
        <v>120</v>
      </c>
    </row>
    <row r="39" ht="7.5" customHeight="1">
      <c r="A39" s="106"/>
      <c r="B39" s="75"/>
      <c r="C39" s="81"/>
      <c r="D39" s="82"/>
      <c r="E39" s="82"/>
      <c r="F39" s="82"/>
      <c r="G39" s="82"/>
      <c r="H39" s="82"/>
      <c r="I39" s="82"/>
    </row>
    <row r="40" ht="14.25" customHeight="1">
      <c r="A40" s="106"/>
      <c r="B40" s="75" t="s">
        <v>121</v>
      </c>
      <c r="C40" s="75"/>
      <c r="D40" s="75"/>
      <c r="E40" s="109">
        <f>'P&amp;L Statement'!E18</f>
        <v>4.066666667</v>
      </c>
      <c r="F40" s="109">
        <f>'P&amp;L Statement'!F18</f>
        <v>4.066666667</v>
      </c>
      <c r="G40" s="109">
        <f>'P&amp;L Statement'!G18</f>
        <v>4.066666667</v>
      </c>
      <c r="H40" s="109">
        <f>'P&amp;L Statement'!H18</f>
        <v>4.066666667</v>
      </c>
      <c r="I40" s="109">
        <f>'P&amp;L Statement'!I18</f>
        <v>4.066666667</v>
      </c>
    </row>
    <row r="41" ht="14.25" customHeight="1">
      <c r="A41" s="106"/>
      <c r="B41" s="75"/>
      <c r="C41" s="75"/>
      <c r="D41" s="75"/>
      <c r="E41" s="75"/>
      <c r="F41" s="75"/>
      <c r="G41" s="75"/>
      <c r="H41" s="75"/>
      <c r="I41" s="75"/>
    </row>
    <row r="42" ht="14.25" customHeight="1">
      <c r="A42" s="106"/>
      <c r="B42" s="75" t="s">
        <v>122</v>
      </c>
      <c r="C42" s="75"/>
      <c r="D42" s="75"/>
      <c r="E42" s="109" t="str">
        <f>'P&amp;L Statement'!E32</f>
        <v/>
      </c>
      <c r="F42" s="109">
        <f>'P&amp;L Statement'!F32</f>
        <v>3</v>
      </c>
      <c r="G42" s="109">
        <f>'P&amp;L Statement'!G32</f>
        <v>3</v>
      </c>
      <c r="H42" s="109">
        <f>'P&amp;L Statement'!H32</f>
        <v>3</v>
      </c>
      <c r="I42" s="109">
        <f>'P&amp;L Statement'!I32</f>
        <v>3</v>
      </c>
    </row>
    <row r="43" ht="14.25" customHeight="1">
      <c r="A43" s="106"/>
      <c r="B43" s="110" t="s">
        <v>123</v>
      </c>
      <c r="C43" s="110"/>
      <c r="D43" s="110"/>
      <c r="E43" s="111">
        <v>2.0</v>
      </c>
      <c r="F43" s="111">
        <v>2.0</v>
      </c>
      <c r="G43" s="111">
        <v>2.0</v>
      </c>
      <c r="H43" s="111">
        <v>2.0</v>
      </c>
      <c r="I43" s="111">
        <v>2.0</v>
      </c>
    </row>
    <row r="44" ht="14.25" customHeight="1">
      <c r="A44" s="106"/>
      <c r="B44" s="75" t="s">
        <v>124</v>
      </c>
      <c r="C44" s="75"/>
      <c r="D44" s="75"/>
      <c r="E44" s="112">
        <f t="shared" ref="E44:I44" si="7">IFERROR(E42-E43,"")</f>
        <v>-2</v>
      </c>
      <c r="F44" s="112">
        <f t="shared" si="7"/>
        <v>1</v>
      </c>
      <c r="G44" s="112">
        <f t="shared" si="7"/>
        <v>1</v>
      </c>
      <c r="H44" s="112">
        <f t="shared" si="7"/>
        <v>1</v>
      </c>
      <c r="I44" s="112">
        <f t="shared" si="7"/>
        <v>1</v>
      </c>
    </row>
    <row r="45" ht="14.25" customHeight="1">
      <c r="A45" s="106"/>
      <c r="B45" s="75"/>
      <c r="C45" s="75"/>
      <c r="D45" s="75"/>
      <c r="E45" s="75"/>
      <c r="F45" s="75"/>
      <c r="G45" s="75"/>
      <c r="H45" s="75"/>
      <c r="I45" s="75"/>
    </row>
    <row r="46" ht="14.25" customHeight="1">
      <c r="A46" s="106"/>
      <c r="B46" s="75" t="s">
        <v>125</v>
      </c>
      <c r="C46" s="75"/>
      <c r="D46" s="75"/>
      <c r="E46" s="109">
        <f>'P&amp;L Statement'!E60</f>
        <v>1.79456448</v>
      </c>
      <c r="F46" s="109">
        <f>'P&amp;L Statement'!F60</f>
        <v>2.010989011</v>
      </c>
      <c r="G46" s="109">
        <f>'P&amp;L Statement'!G60</f>
        <v>2.010989011</v>
      </c>
      <c r="H46" s="109">
        <f>'P&amp;L Statement'!H60</f>
        <v>2.010989011</v>
      </c>
      <c r="I46" s="109">
        <f>'P&amp;L Statement'!I60</f>
        <v>2.010989011</v>
      </c>
    </row>
    <row r="47" ht="14.25" customHeight="1">
      <c r="A47" s="106"/>
      <c r="B47" s="110" t="s">
        <v>126</v>
      </c>
      <c r="C47" s="110"/>
      <c r="D47" s="110"/>
      <c r="E47" s="111">
        <v>2.0</v>
      </c>
      <c r="F47" s="111">
        <v>2.0</v>
      </c>
      <c r="G47" s="111">
        <v>2.0</v>
      </c>
      <c r="H47" s="111">
        <v>2.0</v>
      </c>
      <c r="I47" s="111">
        <v>2.0</v>
      </c>
    </row>
    <row r="48" ht="14.25" customHeight="1">
      <c r="A48" s="106"/>
      <c r="B48" s="75" t="s">
        <v>124</v>
      </c>
      <c r="C48" s="75"/>
      <c r="D48" s="75"/>
      <c r="E48" s="112">
        <f t="shared" ref="E48:I48" si="8">IFERROR(E46-E47,"")</f>
        <v>-0.2054355195</v>
      </c>
      <c r="F48" s="112">
        <f t="shared" si="8"/>
        <v>0.01098901099</v>
      </c>
      <c r="G48" s="112">
        <f t="shared" si="8"/>
        <v>0.01098901099</v>
      </c>
      <c r="H48" s="112">
        <f t="shared" si="8"/>
        <v>0.01098901099</v>
      </c>
      <c r="I48" s="112">
        <f t="shared" si="8"/>
        <v>0.01098901099</v>
      </c>
    </row>
    <row r="49" ht="14.25" customHeight="1">
      <c r="A49" s="106"/>
      <c r="B49" s="75"/>
      <c r="C49" s="75"/>
      <c r="D49" s="75"/>
      <c r="E49" s="75"/>
      <c r="F49" s="75"/>
      <c r="G49" s="75"/>
      <c r="H49" s="75"/>
      <c r="I49" s="75"/>
    </row>
    <row r="50" ht="14.25" customHeight="1">
      <c r="A50" s="106"/>
      <c r="B50" s="75" t="s">
        <v>127</v>
      </c>
      <c r="C50" s="75"/>
      <c r="D50" s="75"/>
      <c r="E50" s="113">
        <f>'P&amp;L Statement'!E56</f>
        <v>61360.95245</v>
      </c>
      <c r="F50" s="113">
        <f>'P&amp;L Statement'!F56</f>
        <v>127270.3095</v>
      </c>
      <c r="G50" s="113">
        <f>'P&amp;L Statement'!G56</f>
        <v>164925.456</v>
      </c>
      <c r="H50" s="113">
        <f>'P&amp;L Statement'!H56</f>
        <v>182882.4812</v>
      </c>
      <c r="I50" s="113">
        <f>'P&amp;L Statement'!I56</f>
        <v>200378.1966</v>
      </c>
    </row>
    <row r="51" ht="14.25" customHeight="1">
      <c r="A51" s="106"/>
      <c r="B51" s="75" t="s">
        <v>128</v>
      </c>
      <c r="C51" s="75"/>
      <c r="D51" s="75"/>
      <c r="E51" s="113">
        <f>'P&amp;L Statement'!E57</f>
        <v>-37079.45574</v>
      </c>
      <c r="F51" s="113">
        <f>'P&amp;L Statement'!F57</f>
        <v>-27899.71241</v>
      </c>
      <c r="G51" s="113">
        <f>'P&amp;L Statement'!G57</f>
        <v>-15130.7701</v>
      </c>
      <c r="H51" s="113">
        <f>'P&amp;L Statement'!H57</f>
        <v>-13871.6416</v>
      </c>
      <c r="I51" s="113">
        <f>'P&amp;L Statement'!I57</f>
        <v>-12706.42132</v>
      </c>
    </row>
    <row r="52" ht="14.25" customHeight="1">
      <c r="A52" s="106"/>
      <c r="B52" s="75"/>
      <c r="C52" s="75"/>
      <c r="D52" s="75"/>
      <c r="E52" s="75"/>
      <c r="F52" s="75"/>
      <c r="G52" s="75"/>
      <c r="H52" s="75"/>
      <c r="I52" s="75"/>
    </row>
    <row r="53" ht="14.25" customHeight="1">
      <c r="A53" s="106"/>
      <c r="B53" s="75"/>
      <c r="C53" s="75"/>
      <c r="D53" s="75"/>
      <c r="E53" s="75"/>
      <c r="F53" s="75"/>
      <c r="G53" s="75"/>
      <c r="H53" s="75"/>
      <c r="I53" s="75"/>
    </row>
    <row r="54" ht="14.25" customHeight="1">
      <c r="A54" s="106"/>
      <c r="B54" s="83" t="s">
        <v>61</v>
      </c>
      <c r="C54" s="84"/>
      <c r="D54" s="84"/>
      <c r="E54" s="84"/>
      <c r="F54" s="84"/>
      <c r="G54" s="84"/>
      <c r="H54" s="84"/>
      <c r="I54" s="84"/>
    </row>
    <row r="55" ht="14.25" customHeight="1">
      <c r="A55" s="106"/>
      <c r="B55" s="75"/>
      <c r="C55" s="81"/>
      <c r="D55" s="82"/>
      <c r="E55" s="82"/>
      <c r="F55" s="82"/>
      <c r="G55" s="82"/>
      <c r="H55" s="82"/>
      <c r="I55" s="82"/>
    </row>
    <row r="56" ht="14.25" customHeight="1">
      <c r="A56" s="106"/>
      <c r="B56" s="114" t="s">
        <v>129</v>
      </c>
      <c r="C56" s="114"/>
      <c r="D56" s="115"/>
      <c r="E56" s="116">
        <f>Model!E100</f>
        <v>199293.1734</v>
      </c>
      <c r="F56" s="116">
        <f>Model!F100</f>
        <v>169887.9187</v>
      </c>
      <c r="G56" s="116">
        <f>Model!G100</f>
        <v>162527.9473</v>
      </c>
      <c r="H56" s="116">
        <f>Model!H100</f>
        <v>166401.1941</v>
      </c>
      <c r="I56" s="116">
        <f>Model!I100</f>
        <v>226287.0024</v>
      </c>
    </row>
    <row r="57" ht="14.25" customHeight="1">
      <c r="A57" s="106"/>
      <c r="B57" s="94" t="s">
        <v>130</v>
      </c>
      <c r="C57" s="95"/>
      <c r="D57" s="96"/>
      <c r="E57" s="117">
        <f>Model!E92</f>
        <v>12088.4427</v>
      </c>
      <c r="F57" s="117">
        <f>Model!F92</f>
        <v>6064.801389</v>
      </c>
      <c r="G57" s="117">
        <f>Model!G92</f>
        <v>35316.95947</v>
      </c>
      <c r="H57" s="117">
        <f>Model!H92</f>
        <v>76777.85379</v>
      </c>
      <c r="I57" s="117">
        <f>Model!I92</f>
        <v>129224.9691</v>
      </c>
    </row>
    <row r="58" ht="7.5" customHeight="1">
      <c r="A58" s="106"/>
      <c r="B58" s="75"/>
      <c r="C58" s="81"/>
      <c r="D58" s="82"/>
      <c r="E58" s="82"/>
      <c r="F58" s="82"/>
      <c r="G58" s="82"/>
      <c r="H58" s="82"/>
      <c r="I58" s="82"/>
    </row>
    <row r="59" ht="14.25" customHeight="1">
      <c r="A59" s="106"/>
      <c r="B59" s="114" t="s">
        <v>131</v>
      </c>
      <c r="C59" s="114"/>
      <c r="D59" s="115"/>
      <c r="E59" s="116">
        <f>Model!E110</f>
        <v>240303.0959</v>
      </c>
      <c r="F59" s="116">
        <f>Model!F110</f>
        <v>228516.2503</v>
      </c>
      <c r="G59" s="116">
        <f>Model!G110</f>
        <v>211604.6308</v>
      </c>
      <c r="H59" s="116">
        <f>Model!H110</f>
        <v>194315.1494</v>
      </c>
      <c r="I59" s="116">
        <f>Model!I110</f>
        <v>177246.4897</v>
      </c>
    </row>
    <row r="60" ht="7.5" customHeight="1">
      <c r="A60" s="106"/>
      <c r="B60" s="75"/>
      <c r="C60" s="81"/>
      <c r="D60" s="82"/>
      <c r="E60" s="82"/>
      <c r="F60" s="82"/>
      <c r="G60" s="82"/>
      <c r="H60" s="82"/>
      <c r="I60" s="82"/>
    </row>
    <row r="61" ht="14.25" customHeight="1">
      <c r="A61" s="106"/>
      <c r="B61" s="98" t="s">
        <v>132</v>
      </c>
      <c r="C61" s="98"/>
      <c r="D61" s="99"/>
      <c r="E61" s="100">
        <f>Model!E112</f>
        <v>-41009.92255</v>
      </c>
      <c r="F61" s="100">
        <f>Model!F112</f>
        <v>-58628.33154</v>
      </c>
      <c r="G61" s="100">
        <f>Model!G112</f>
        <v>-49076.6835</v>
      </c>
      <c r="H61" s="100">
        <f>Model!H112</f>
        <v>-27913.9553</v>
      </c>
      <c r="I61" s="100">
        <f>Model!I112</f>
        <v>49040.51276</v>
      </c>
    </row>
    <row r="62" ht="7.5" customHeight="1">
      <c r="A62" s="106"/>
      <c r="B62" s="75"/>
      <c r="C62" s="81"/>
      <c r="D62" s="82"/>
      <c r="E62" s="82"/>
      <c r="F62" s="82"/>
      <c r="G62" s="82"/>
      <c r="H62" s="82"/>
      <c r="I62" s="82"/>
    </row>
    <row r="63" ht="14.25" customHeight="1">
      <c r="A63" s="106"/>
      <c r="B63" s="98" t="s">
        <v>133</v>
      </c>
      <c r="C63" s="98"/>
      <c r="D63" s="99"/>
      <c r="E63" s="100">
        <f>Model!E116</f>
        <v>-41009.92255</v>
      </c>
      <c r="F63" s="100">
        <f>Model!F116</f>
        <v>-58628.33154</v>
      </c>
      <c r="G63" s="100">
        <f>Model!G116</f>
        <v>-49076.6835</v>
      </c>
      <c r="H63" s="100">
        <f>Model!H116</f>
        <v>-27913.9553</v>
      </c>
      <c r="I63" s="100">
        <f>Model!I116</f>
        <v>49040.51276</v>
      </c>
    </row>
    <row r="64" ht="14.25" customHeight="1">
      <c r="A64" s="106"/>
      <c r="B64" s="94" t="s">
        <v>134</v>
      </c>
      <c r="C64" s="95"/>
      <c r="D64" s="96"/>
      <c r="E64" s="118">
        <f>Model!E115</f>
        <v>-100859.9225</v>
      </c>
      <c r="F64" s="118">
        <f>Model!F115</f>
        <v>-118478.3315</v>
      </c>
      <c r="G64" s="118">
        <f>Model!G115</f>
        <v>-108926.6835</v>
      </c>
      <c r="H64" s="118">
        <f>Model!H115</f>
        <v>-87763.9553</v>
      </c>
      <c r="I64" s="118">
        <f>Model!I115</f>
        <v>-10809.48724</v>
      </c>
    </row>
    <row r="65" ht="14.25" customHeight="1">
      <c r="A65" s="106"/>
      <c r="B65" s="110"/>
      <c r="C65" s="110"/>
      <c r="D65" s="110"/>
      <c r="E65" s="110"/>
      <c r="F65" s="110"/>
      <c r="G65" s="110"/>
      <c r="H65" s="110"/>
      <c r="I65" s="110"/>
    </row>
    <row r="66" ht="14.25" customHeight="1">
      <c r="A66" s="106"/>
      <c r="B66" s="75"/>
      <c r="C66" s="75"/>
      <c r="D66" s="75"/>
      <c r="E66" s="75"/>
      <c r="F66" s="75"/>
      <c r="G66" s="75"/>
      <c r="H66" s="75"/>
      <c r="I66" s="75"/>
    </row>
    <row r="67" ht="14.25" customHeight="1">
      <c r="A67" s="106"/>
      <c r="B67" s="83" t="s">
        <v>46</v>
      </c>
      <c r="C67" s="84"/>
      <c r="D67" s="84"/>
      <c r="E67" s="84"/>
      <c r="F67" s="84"/>
      <c r="G67" s="84"/>
      <c r="H67" s="84"/>
      <c r="I67" s="84"/>
    </row>
    <row r="68" ht="14.25" customHeight="1">
      <c r="A68" s="106"/>
      <c r="B68" s="75"/>
      <c r="C68" s="75"/>
      <c r="D68" s="75"/>
      <c r="E68" s="75"/>
      <c r="F68" s="75"/>
      <c r="G68" s="75"/>
      <c r="H68" s="75"/>
      <c r="I68" s="75"/>
    </row>
    <row r="69" ht="14.25" customHeight="1">
      <c r="A69" s="106"/>
      <c r="B69" s="98" t="s">
        <v>135</v>
      </c>
      <c r="C69" s="98"/>
      <c r="D69" s="99"/>
      <c r="E69" s="100">
        <f>Model!E144</f>
        <v>12088.4427</v>
      </c>
      <c r="F69" s="100">
        <f>Model!F144</f>
        <v>6064.801389</v>
      </c>
      <c r="G69" s="100">
        <f>Model!G144</f>
        <v>35316.95947</v>
      </c>
      <c r="H69" s="100">
        <f>Model!H144</f>
        <v>76777.85379</v>
      </c>
      <c r="I69" s="100">
        <f>Model!I144</f>
        <v>129224.9691</v>
      </c>
    </row>
    <row r="70" ht="14.25" customHeight="1">
      <c r="A70" s="106"/>
      <c r="B70" s="110"/>
      <c r="C70" s="110"/>
      <c r="D70" s="110"/>
      <c r="E70" s="110"/>
      <c r="F70" s="110"/>
      <c r="G70" s="110"/>
      <c r="H70" s="110"/>
      <c r="I70" s="110"/>
    </row>
    <row r="71" ht="14.25" customHeight="1">
      <c r="A71" s="106"/>
      <c r="B71" s="75"/>
      <c r="C71" s="75"/>
      <c r="D71" s="75"/>
      <c r="E71" s="75"/>
      <c r="F71" s="75"/>
      <c r="G71" s="75"/>
      <c r="H71" s="75"/>
      <c r="I71" s="75"/>
    </row>
    <row r="72" ht="14.25" customHeight="1">
      <c r="A72" s="106"/>
      <c r="B72" s="83" t="s">
        <v>136</v>
      </c>
      <c r="C72" s="84"/>
      <c r="D72" s="84"/>
      <c r="E72" s="84"/>
      <c r="F72" s="84"/>
      <c r="G72" s="84"/>
      <c r="H72" s="84"/>
      <c r="I72" s="84"/>
    </row>
    <row r="73" ht="14.25" customHeight="1">
      <c r="A73" s="106"/>
      <c r="B73" s="119"/>
      <c r="C73" s="119"/>
      <c r="D73" s="119"/>
      <c r="E73" s="119"/>
      <c r="F73" s="119"/>
      <c r="G73" s="119"/>
      <c r="H73" s="119"/>
      <c r="I73" s="119"/>
    </row>
    <row r="74" ht="14.25" customHeight="1">
      <c r="A74" s="106"/>
      <c r="B74" s="114" t="s">
        <v>137</v>
      </c>
      <c r="C74" s="114"/>
      <c r="D74" s="115"/>
      <c r="E74" s="116">
        <f>Model!E166</f>
        <v>32582.96237</v>
      </c>
      <c r="F74" s="116">
        <f>Model!F166</f>
        <v>45337.89104</v>
      </c>
      <c r="G74" s="116">
        <f>Model!G166</f>
        <v>50085.36068</v>
      </c>
      <c r="H74" s="116">
        <f>Model!H166</f>
        <v>54242.42092</v>
      </c>
      <c r="I74" s="116">
        <f>Model!I166</f>
        <v>58744.5151</v>
      </c>
    </row>
    <row r="75" ht="7.5" customHeight="1">
      <c r="A75" s="106"/>
      <c r="B75" s="75"/>
      <c r="C75" s="81"/>
      <c r="D75" s="82"/>
      <c r="E75" s="82"/>
      <c r="F75" s="82"/>
      <c r="G75" s="82"/>
      <c r="H75" s="82"/>
      <c r="I75" s="82"/>
    </row>
    <row r="76" ht="14.25" customHeight="1">
      <c r="A76" s="106"/>
      <c r="B76" s="114" t="s">
        <v>138</v>
      </c>
      <c r="C76" s="114"/>
      <c r="D76" s="115"/>
      <c r="E76" s="116">
        <f>Model!E180</f>
        <v>20853.09591</v>
      </c>
      <c r="F76" s="116">
        <f>Model!F180</f>
        <v>29016.25027</v>
      </c>
      <c r="G76" s="116">
        <f>Model!G180</f>
        <v>32054.63084</v>
      </c>
      <c r="H76" s="116">
        <f>Model!H180</f>
        <v>34715.14939</v>
      </c>
      <c r="I76" s="116">
        <f>Model!I180</f>
        <v>37596.48967</v>
      </c>
    </row>
    <row r="77" ht="7.5" customHeight="1">
      <c r="A77" s="106"/>
      <c r="B77" s="75"/>
      <c r="C77" s="81"/>
      <c r="D77" s="82"/>
      <c r="E77" s="82"/>
      <c r="F77" s="82"/>
      <c r="G77" s="82"/>
      <c r="H77" s="82"/>
      <c r="I77" s="82"/>
    </row>
    <row r="78" ht="14.25" customHeight="1">
      <c r="A78" s="80"/>
      <c r="B78" s="114" t="s">
        <v>139</v>
      </c>
      <c r="C78" s="114"/>
      <c r="D78" s="115"/>
      <c r="E78" s="116">
        <f>Model!E185</f>
        <v>21253.0183</v>
      </c>
      <c r="F78" s="116">
        <f>Model!F185</f>
        <v>29572.7263</v>
      </c>
      <c r="G78" s="116">
        <f>Model!G185</f>
        <v>32669.37718</v>
      </c>
      <c r="H78" s="116">
        <f>Model!H185</f>
        <v>35380.91938</v>
      </c>
      <c r="I78" s="116">
        <f>Model!I185</f>
        <v>38317.51823</v>
      </c>
    </row>
    <row r="79" ht="14.25" customHeight="1">
      <c r="A79" s="80"/>
      <c r="B79" s="120"/>
      <c r="C79" s="105"/>
      <c r="D79" s="105"/>
      <c r="E79" s="121"/>
      <c r="F79" s="121"/>
      <c r="G79" s="121"/>
      <c r="H79" s="121"/>
      <c r="I79" s="121"/>
    </row>
    <row r="80" ht="14.25" customHeight="1">
      <c r="A80" s="80"/>
      <c r="B80" s="122"/>
      <c r="C80" s="92"/>
      <c r="D80" s="92"/>
      <c r="E80" s="119"/>
      <c r="F80" s="119"/>
      <c r="G80" s="119"/>
      <c r="H80" s="119"/>
      <c r="I80" s="119"/>
    </row>
    <row r="81" ht="14.25" customHeight="1">
      <c r="A81" s="80"/>
      <c r="B81" s="83" t="s">
        <v>99</v>
      </c>
      <c r="C81" s="84"/>
      <c r="D81" s="84"/>
      <c r="E81" s="84"/>
      <c r="F81" s="84"/>
      <c r="G81" s="84"/>
      <c r="H81" s="84"/>
      <c r="I81" s="84"/>
    </row>
    <row r="82" ht="14.25" customHeight="1">
      <c r="A82" s="80"/>
      <c r="B82" s="75"/>
      <c r="C82" s="75"/>
      <c r="D82" s="75"/>
      <c r="E82" s="75"/>
      <c r="F82" s="75"/>
      <c r="G82" s="75"/>
      <c r="H82" s="75"/>
      <c r="I82" s="75"/>
    </row>
    <row r="83" ht="14.25" customHeight="1">
      <c r="A83" s="80"/>
      <c r="B83" s="92" t="s">
        <v>140</v>
      </c>
      <c r="C83" s="92"/>
      <c r="D83" s="82"/>
      <c r="E83" s="123">
        <f>Model!E194</f>
        <v>219450</v>
      </c>
      <c r="F83" s="123">
        <f>Model!F194</f>
        <v>199500</v>
      </c>
      <c r="G83" s="123">
        <f>Model!G194</f>
        <v>179550</v>
      </c>
      <c r="H83" s="123">
        <f>Model!H194</f>
        <v>159600</v>
      </c>
      <c r="I83" s="123">
        <f>Model!I194</f>
        <v>139650</v>
      </c>
    </row>
    <row r="84" ht="7.5" customHeight="1">
      <c r="A84" s="80"/>
      <c r="B84" s="75"/>
      <c r="C84" s="81"/>
      <c r="D84" s="82"/>
      <c r="E84" s="82"/>
      <c r="F84" s="82"/>
      <c r="G84" s="82"/>
      <c r="H84" s="82"/>
      <c r="I84" s="82"/>
    </row>
    <row r="85" ht="14.25" customHeight="1">
      <c r="A85" s="80"/>
      <c r="B85" s="114" t="s">
        <v>141</v>
      </c>
      <c r="C85" s="114"/>
      <c r="D85" s="115"/>
      <c r="E85" s="116">
        <f>Model!E196</f>
        <v>-24089.625</v>
      </c>
      <c r="F85" s="116">
        <f>Model!F196</f>
        <v>-21994.875</v>
      </c>
      <c r="G85" s="116">
        <f>Model!G196</f>
        <v>-19900.125</v>
      </c>
      <c r="H85" s="116">
        <f>Model!H196</f>
        <v>-17805.375</v>
      </c>
      <c r="I85" s="116">
        <f>Model!I196</f>
        <v>-15710.625</v>
      </c>
    </row>
    <row r="86" ht="14.25" customHeight="1">
      <c r="A86" s="80"/>
      <c r="B86" s="120"/>
      <c r="C86" s="105"/>
      <c r="D86" s="124"/>
      <c r="E86" s="125"/>
      <c r="F86" s="125"/>
      <c r="G86" s="125"/>
      <c r="H86" s="125"/>
      <c r="I86" s="125"/>
    </row>
    <row r="87" ht="14.25" customHeight="1">
      <c r="A87" s="80"/>
      <c r="B87" s="122"/>
      <c r="C87" s="92"/>
      <c r="D87" s="85"/>
      <c r="E87" s="93"/>
      <c r="F87" s="93"/>
      <c r="G87" s="93"/>
      <c r="H87" s="93"/>
      <c r="I87" s="93"/>
    </row>
    <row r="88" ht="14.25" customHeight="1">
      <c r="A88" s="80"/>
      <c r="B88" s="83" t="s">
        <v>142</v>
      </c>
      <c r="C88" s="84"/>
      <c r="D88" s="84"/>
      <c r="E88" s="84"/>
      <c r="F88" s="84"/>
      <c r="G88" s="84"/>
      <c r="H88" s="84"/>
      <c r="I88" s="84"/>
    </row>
    <row r="89" ht="14.25" customHeight="1">
      <c r="A89" s="80"/>
      <c r="B89" s="75"/>
      <c r="C89" s="81"/>
      <c r="D89" s="82"/>
      <c r="E89" s="123"/>
      <c r="F89" s="123"/>
      <c r="G89" s="123"/>
      <c r="H89" s="123"/>
      <c r="I89" s="123"/>
    </row>
    <row r="90" ht="14.25" customHeight="1">
      <c r="A90" s="80"/>
      <c r="B90" s="114" t="s">
        <v>143</v>
      </c>
      <c r="C90" s="114"/>
      <c r="D90" s="115"/>
      <c r="E90" s="116">
        <f>Model!E239</f>
        <v>177825</v>
      </c>
      <c r="F90" s="116">
        <f>Model!F239</f>
        <v>0</v>
      </c>
      <c r="G90" s="116">
        <f>Model!G239</f>
        <v>0</v>
      </c>
      <c r="H90" s="116">
        <f>Model!H239</f>
        <v>0</v>
      </c>
      <c r="I90" s="116">
        <f>Model!I239</f>
        <v>0</v>
      </c>
    </row>
    <row r="91" ht="7.5" customHeight="1">
      <c r="A91" s="80"/>
      <c r="B91" s="75"/>
      <c r="C91" s="81"/>
      <c r="D91" s="82"/>
      <c r="E91" s="82"/>
      <c r="F91" s="82"/>
      <c r="G91" s="82"/>
      <c r="H91" s="82"/>
      <c r="I91" s="82"/>
    </row>
    <row r="92" ht="14.25" customHeight="1">
      <c r="A92" s="80"/>
      <c r="B92" s="114" t="s">
        <v>144</v>
      </c>
      <c r="C92" s="114"/>
      <c r="D92" s="115"/>
      <c r="E92" s="116">
        <f>Model!E241</f>
        <v>-44456.25</v>
      </c>
      <c r="F92" s="116">
        <f>Model!F241</f>
        <v>-44456.25</v>
      </c>
      <c r="G92" s="116">
        <f>Model!G241</f>
        <v>-44456.25</v>
      </c>
      <c r="H92" s="116">
        <f>Model!H241</f>
        <v>-44456.25</v>
      </c>
      <c r="I92" s="116">
        <f>Model!I241</f>
        <v>0</v>
      </c>
    </row>
    <row r="93" ht="7.5" customHeight="1">
      <c r="A93" s="80"/>
      <c r="B93" s="75"/>
      <c r="C93" s="81"/>
      <c r="D93" s="82"/>
      <c r="E93" s="82"/>
      <c r="F93" s="82"/>
      <c r="G93" s="82"/>
      <c r="H93" s="82"/>
      <c r="I93" s="82"/>
    </row>
    <row r="94" ht="14.25" customHeight="1">
      <c r="A94" s="80"/>
      <c r="B94" s="98" t="s">
        <v>145</v>
      </c>
      <c r="C94" s="98"/>
      <c r="D94" s="99"/>
      <c r="E94" s="100">
        <f>Model!E243</f>
        <v>133368.75</v>
      </c>
      <c r="F94" s="100">
        <f>Model!F243</f>
        <v>88912.5</v>
      </c>
      <c r="G94" s="100">
        <f>Model!G243</f>
        <v>44456.25</v>
      </c>
      <c r="H94" s="100">
        <f>Model!H243</f>
        <v>0</v>
      </c>
      <c r="I94" s="100">
        <f>Model!I243</f>
        <v>0</v>
      </c>
    </row>
    <row r="95" ht="14.25" customHeight="1">
      <c r="A95" s="80"/>
      <c r="B95" s="120"/>
      <c r="C95" s="105"/>
      <c r="D95" s="124"/>
      <c r="E95" s="125"/>
      <c r="F95" s="125"/>
      <c r="G95" s="125"/>
      <c r="H95" s="125"/>
      <c r="I95" s="125"/>
    </row>
    <row r="96" ht="14.25" customHeight="1">
      <c r="A96" s="80"/>
      <c r="B96" s="122"/>
      <c r="C96" s="92"/>
      <c r="D96" s="85"/>
      <c r="E96" s="93"/>
      <c r="F96" s="93"/>
      <c r="G96" s="93"/>
      <c r="H96" s="93"/>
      <c r="I96" s="93"/>
    </row>
    <row r="97" ht="14.25" customHeight="1">
      <c r="A97" s="61"/>
      <c r="B97" s="83" t="s">
        <v>146</v>
      </c>
      <c r="C97" s="107" t="s">
        <v>51</v>
      </c>
      <c r="D97" s="84"/>
      <c r="E97" s="84"/>
      <c r="F97" s="84"/>
      <c r="G97" s="84"/>
      <c r="H97" s="84"/>
      <c r="I97" s="84"/>
    </row>
    <row r="98" ht="14.25" customHeight="1">
      <c r="A98" s="80"/>
      <c r="B98" s="75"/>
      <c r="C98" s="75"/>
      <c r="D98" s="75"/>
      <c r="E98" s="75"/>
      <c r="F98" s="75"/>
      <c r="G98" s="75"/>
      <c r="H98" s="75"/>
      <c r="I98" s="75"/>
    </row>
    <row r="99" ht="7.5" customHeight="1">
      <c r="A99" s="80"/>
      <c r="B99" s="75"/>
      <c r="C99" s="81"/>
      <c r="D99" s="122"/>
      <c r="E99" s="75"/>
      <c r="F99" s="75"/>
      <c r="G99" s="75"/>
      <c r="H99" s="81"/>
      <c r="I99" s="82"/>
    </row>
    <row r="100" ht="14.25" customHeight="1">
      <c r="A100" s="80"/>
      <c r="B100" s="126" t="s">
        <v>147</v>
      </c>
      <c r="C100" s="127">
        <f>Model!C249</f>
        <v>45961</v>
      </c>
      <c r="D100" s="122"/>
      <c r="E100" s="75"/>
      <c r="F100" s="75"/>
      <c r="G100" s="75"/>
      <c r="H100" s="75"/>
      <c r="I100" s="75"/>
    </row>
    <row r="101" ht="7.5" customHeight="1">
      <c r="A101" s="80"/>
      <c r="B101" s="75"/>
      <c r="C101" s="81"/>
      <c r="D101" s="82"/>
      <c r="E101" s="82"/>
      <c r="F101" s="82"/>
      <c r="G101" s="82"/>
      <c r="H101" s="82"/>
      <c r="I101" s="82"/>
    </row>
    <row r="102" ht="14.25" customHeight="1">
      <c r="A102" s="106"/>
      <c r="B102" s="126" t="s">
        <v>148</v>
      </c>
      <c r="C102" s="128">
        <f>Breakeven</f>
        <v>15</v>
      </c>
      <c r="D102" s="122"/>
      <c r="E102" s="75"/>
      <c r="F102" s="75"/>
      <c r="G102" s="75"/>
      <c r="H102" s="75"/>
      <c r="I102" s="75"/>
    </row>
    <row r="103" ht="14.25" customHeight="1">
      <c r="A103" s="106"/>
      <c r="B103" s="122"/>
      <c r="C103" s="129"/>
      <c r="D103" s="122"/>
      <c r="E103" s="75"/>
      <c r="F103" s="75"/>
      <c r="G103" s="122"/>
      <c r="H103" s="75"/>
      <c r="I103" s="130"/>
    </row>
    <row r="104" ht="14.25" customHeight="1">
      <c r="A104" s="80"/>
      <c r="B104" s="131" t="s">
        <v>149</v>
      </c>
      <c r="C104" s="132">
        <f>Model!C252</f>
        <v>-94208.19335</v>
      </c>
      <c r="D104" s="75"/>
      <c r="E104" s="75"/>
      <c r="F104" s="75"/>
      <c r="G104" s="75"/>
      <c r="H104" s="75"/>
      <c r="I104" s="75"/>
    </row>
    <row r="105" ht="7.5" customHeight="1">
      <c r="A105" s="80"/>
      <c r="B105" s="75"/>
      <c r="C105" s="81"/>
      <c r="D105" s="82"/>
      <c r="E105" s="82"/>
      <c r="F105" s="82"/>
      <c r="G105" s="82"/>
      <c r="H105" s="82"/>
      <c r="I105" s="82"/>
    </row>
    <row r="106" ht="14.25" customHeight="1">
      <c r="A106" s="80"/>
      <c r="B106" s="131" t="s">
        <v>150</v>
      </c>
      <c r="C106" s="132">
        <f>Model!C253</f>
        <v>-177825</v>
      </c>
      <c r="D106" s="75"/>
      <c r="E106" s="75"/>
      <c r="F106" s="75"/>
      <c r="G106" s="122"/>
      <c r="H106" s="75"/>
      <c r="I106" s="130"/>
    </row>
    <row r="107" ht="7.5" customHeight="1">
      <c r="A107" s="80"/>
      <c r="B107" s="75"/>
      <c r="C107" s="81"/>
      <c r="D107" s="82"/>
      <c r="E107" s="82"/>
      <c r="F107" s="82"/>
      <c r="G107" s="82"/>
      <c r="H107" s="82"/>
      <c r="I107" s="82"/>
    </row>
    <row r="108" ht="14.25" customHeight="1">
      <c r="A108" s="80"/>
      <c r="B108" s="98" t="s">
        <v>151</v>
      </c>
      <c r="C108" s="133">
        <f>Model!C254</f>
        <v>-272033.1933</v>
      </c>
      <c r="D108" s="75"/>
      <c r="E108" s="75"/>
      <c r="F108" s="75"/>
      <c r="G108" s="122"/>
      <c r="H108" s="75"/>
      <c r="I108" s="130"/>
    </row>
    <row r="109" ht="14.25" customHeight="1">
      <c r="A109" s="80"/>
      <c r="B109" s="134"/>
      <c r="C109" s="135"/>
      <c r="D109" s="75"/>
      <c r="E109" s="75"/>
      <c r="F109" s="75"/>
      <c r="G109" s="122"/>
      <c r="H109" s="75"/>
      <c r="I109" s="130"/>
    </row>
    <row r="110" ht="14.25" customHeight="1">
      <c r="A110" s="80"/>
      <c r="B110" s="134"/>
      <c r="C110" s="135"/>
      <c r="D110" s="75"/>
      <c r="E110" s="75"/>
      <c r="F110" s="75"/>
      <c r="G110" s="122"/>
      <c r="H110" s="75"/>
      <c r="I110" s="130"/>
    </row>
    <row r="111" ht="14.25" customHeight="1">
      <c r="A111" s="106"/>
      <c r="B111" s="110"/>
      <c r="C111" s="110"/>
      <c r="D111" s="120"/>
      <c r="E111" s="110"/>
      <c r="F111" s="110"/>
      <c r="G111" s="110"/>
      <c r="H111" s="110"/>
      <c r="I111" s="110"/>
    </row>
    <row r="112" ht="14.25" customHeight="1">
      <c r="A112" s="80"/>
      <c r="B112" s="75"/>
      <c r="C112" s="75"/>
      <c r="D112" s="122"/>
      <c r="E112" s="82"/>
      <c r="F112" s="82"/>
      <c r="G112" s="82"/>
      <c r="H112" s="82"/>
      <c r="I112" s="82"/>
    </row>
    <row r="113" ht="14.25" customHeight="1">
      <c r="A113" s="80"/>
      <c r="B113" s="136" t="s">
        <v>152</v>
      </c>
      <c r="C113" s="105"/>
      <c r="D113" s="107" t="s">
        <v>51</v>
      </c>
      <c r="E113" s="105"/>
      <c r="F113" s="105"/>
      <c r="G113" s="105"/>
      <c r="H113" s="105"/>
      <c r="I113" s="105"/>
    </row>
    <row r="114" ht="14.25" customHeight="1">
      <c r="A114" s="80"/>
      <c r="B114" s="75"/>
      <c r="C114" s="75"/>
      <c r="D114" s="122"/>
      <c r="E114" s="82"/>
      <c r="F114" s="82"/>
      <c r="G114" s="82"/>
      <c r="H114" s="82"/>
      <c r="I114" s="82"/>
    </row>
    <row r="115" ht="14.25" customHeight="1">
      <c r="A115" s="80"/>
      <c r="B115" s="75"/>
      <c r="C115" s="75"/>
      <c r="D115" s="122"/>
      <c r="E115" s="82"/>
      <c r="F115" s="82"/>
      <c r="G115" s="82"/>
      <c r="H115" s="82"/>
      <c r="I115" s="82"/>
    </row>
    <row r="116" ht="14.25" customHeight="1">
      <c r="A116" s="80"/>
      <c r="B116" s="5" t="str">
        <f>Model!B273</f>
        <v>Pre-Tax Net Income</v>
      </c>
      <c r="C116" s="92"/>
      <c r="D116" s="85"/>
      <c r="E116" s="93">
        <f>Model!E273</f>
        <v>-100859.9225</v>
      </c>
      <c r="F116" s="93">
        <f>Model!F273</f>
        <v>-17618.40899</v>
      </c>
      <c r="G116" s="93">
        <f>Model!G273</f>
        <v>9551.648035</v>
      </c>
      <c r="H116" s="93">
        <f>Model!H273</f>
        <v>21162.7282</v>
      </c>
      <c r="I116" s="93">
        <f>Model!I273</f>
        <v>76954.46806</v>
      </c>
    </row>
    <row r="117" ht="14.25" customHeight="1">
      <c r="A117" s="80"/>
      <c r="B117" s="4" t="str">
        <f>Model!B274</f>
        <v>Pre-Tax Net Income (with expensing Sweat Equity)</v>
      </c>
      <c r="C117" s="92"/>
      <c r="D117" s="85"/>
      <c r="E117" s="93">
        <f>Model!E274</f>
        <v>-155859.9225</v>
      </c>
      <c r="F117" s="93">
        <f>Model!F274</f>
        <v>-17618.40899</v>
      </c>
      <c r="G117" s="93">
        <f>Model!G274</f>
        <v>9551.648035</v>
      </c>
      <c r="H117" s="93">
        <f>Model!H274</f>
        <v>21162.7282</v>
      </c>
      <c r="I117" s="93">
        <f>Model!I274</f>
        <v>76954.46806</v>
      </c>
    </row>
    <row r="118" ht="14.25" customHeight="1">
      <c r="A118" s="80"/>
      <c r="B118" s="4" t="str">
        <f>Model!B275</f>
        <v>CAPEX</v>
      </c>
      <c r="C118" s="92"/>
      <c r="D118" s="85"/>
      <c r="E118" s="93">
        <f>Model!E275</f>
        <v>-177825</v>
      </c>
      <c r="F118" s="93">
        <f>Model!F275</f>
        <v>0</v>
      </c>
      <c r="G118" s="93">
        <f>Model!G275</f>
        <v>0</v>
      </c>
      <c r="H118" s="93">
        <f>Model!H275</f>
        <v>0</v>
      </c>
      <c r="I118" s="93">
        <f>Model!I275</f>
        <v>0</v>
      </c>
    </row>
    <row r="119" ht="14.25" customHeight="1">
      <c r="A119" s="80"/>
      <c r="B119" s="137"/>
      <c r="C119" s="138"/>
      <c r="D119" s="139"/>
      <c r="E119" s="140">
        <f>Model!E276</f>
        <v>-333684.9225</v>
      </c>
      <c r="F119" s="140">
        <f>Model!F276</f>
        <v>-17618.40899</v>
      </c>
      <c r="G119" s="140">
        <f>Model!G276</f>
        <v>9551.648035</v>
      </c>
      <c r="H119" s="140">
        <f>Model!H276</f>
        <v>21162.7282</v>
      </c>
      <c r="I119" s="140">
        <f>Model!I276</f>
        <v>76954.46806</v>
      </c>
    </row>
    <row r="120" ht="14.25" customHeight="1">
      <c r="A120" s="80"/>
      <c r="B120" s="119"/>
      <c r="C120" s="119"/>
      <c r="D120" s="119"/>
      <c r="E120" s="119"/>
      <c r="F120" s="119"/>
      <c r="G120" s="119"/>
      <c r="H120" s="119"/>
      <c r="I120" s="119"/>
    </row>
    <row r="121" ht="14.25" customHeight="1">
      <c r="A121" s="80"/>
      <c r="B121" s="141" t="str">
        <f>Model!B278</f>
        <v>Cumulative Cash Generated (Spent) (incl with expensing Sweat Equity)</v>
      </c>
      <c r="C121" s="142"/>
      <c r="D121" s="143"/>
      <c r="E121" s="144">
        <f>Model!E278</f>
        <v>-333684.9225</v>
      </c>
      <c r="F121" s="144">
        <f>Model!F278</f>
        <v>-351303.3315</v>
      </c>
      <c r="G121" s="144">
        <f>Model!G278</f>
        <v>-341751.6835</v>
      </c>
      <c r="H121" s="144">
        <f>Model!H278</f>
        <v>-320588.9553</v>
      </c>
      <c r="I121" s="144">
        <f>Model!I278</f>
        <v>-243634.4872</v>
      </c>
    </row>
    <row r="122" ht="14.25" customHeight="1">
      <c r="A122" s="80"/>
      <c r="B122" s="122"/>
      <c r="C122" s="92"/>
      <c r="D122" s="85"/>
      <c r="E122" s="119"/>
      <c r="F122" s="119"/>
      <c r="G122" s="119"/>
      <c r="H122" s="119"/>
      <c r="I122" s="119"/>
    </row>
    <row r="123" ht="14.25" customHeight="1">
      <c r="A123" s="80"/>
      <c r="B123" s="145" t="str">
        <f>Model!B280</f>
        <v>Breakeven - Payback Year</v>
      </c>
      <c r="C123" s="146"/>
      <c r="D123" s="147"/>
      <c r="E123" s="148" t="str">
        <f>Model!E280</f>
        <v> </v>
      </c>
      <c r="F123" s="148" t="str">
        <f>Model!F280</f>
        <v> </v>
      </c>
      <c r="G123" s="148" t="str">
        <f>Model!G280</f>
        <v> </v>
      </c>
      <c r="H123" s="148" t="str">
        <f>Model!H280</f>
        <v> </v>
      </c>
      <c r="I123" s="148" t="str">
        <f>Model!I280</f>
        <v> </v>
      </c>
    </row>
    <row r="124" ht="14.25" customHeight="1">
      <c r="A124" s="80"/>
      <c r="B124" s="149"/>
      <c r="C124" s="149"/>
      <c r="D124" s="150"/>
      <c r="E124" s="151"/>
      <c r="F124" s="151"/>
      <c r="G124" s="151"/>
      <c r="H124" s="151"/>
      <c r="I124" s="151"/>
    </row>
    <row r="125" ht="14.25" customHeight="1">
      <c r="A125" s="80"/>
      <c r="B125" s="75"/>
      <c r="C125" s="75"/>
      <c r="D125" s="122"/>
      <c r="E125" s="82"/>
      <c r="F125" s="82"/>
      <c r="G125" s="82"/>
      <c r="H125" s="82"/>
      <c r="I125" s="82"/>
    </row>
    <row r="126" ht="14.25" customHeight="1">
      <c r="A126" s="106"/>
      <c r="B126" s="83" t="s">
        <v>67</v>
      </c>
      <c r="C126" s="84"/>
      <c r="D126" s="84"/>
      <c r="E126" s="84"/>
      <c r="F126" s="84"/>
      <c r="G126" s="84"/>
      <c r="H126" s="84"/>
      <c r="I126" s="84"/>
    </row>
    <row r="127" ht="14.25" customHeight="1">
      <c r="A127" s="106"/>
      <c r="B127" s="119"/>
      <c r="C127" s="119"/>
      <c r="D127" s="119"/>
      <c r="E127" s="119"/>
      <c r="F127" s="119"/>
      <c r="G127" s="119"/>
      <c r="H127" s="119"/>
      <c r="I127" s="119"/>
    </row>
    <row r="128" ht="14.25" customHeight="1">
      <c r="A128" s="106"/>
      <c r="B128" s="114" t="str">
        <f>'Returns on Invested Capital'!B8</f>
        <v>Total Cash Invested</v>
      </c>
      <c r="C128" s="114"/>
      <c r="D128" s="115"/>
      <c r="E128" s="152">
        <f>'Returns on Invested Capital'!E8</f>
        <v>299250</v>
      </c>
      <c r="F128" s="152">
        <f>'Returns on Invested Capital'!F8</f>
        <v>299250</v>
      </c>
      <c r="G128" s="152">
        <f>'Returns on Invested Capital'!G8</f>
        <v>299250</v>
      </c>
      <c r="H128" s="152">
        <f>'Returns on Invested Capital'!H8</f>
        <v>299250</v>
      </c>
      <c r="I128" s="152">
        <f>'Returns on Invested Capital'!I8</f>
        <v>299250</v>
      </c>
    </row>
    <row r="129" ht="7.5" customHeight="1">
      <c r="A129" s="80"/>
      <c r="B129" s="75"/>
      <c r="C129" s="81"/>
      <c r="D129" s="82"/>
      <c r="E129" s="153"/>
      <c r="F129" s="153"/>
      <c r="G129" s="153"/>
      <c r="H129" s="153"/>
      <c r="I129" s="153"/>
    </row>
    <row r="130" ht="14.25" customHeight="1">
      <c r="A130" s="106"/>
      <c r="B130" s="114" t="str">
        <f>'Returns on Invested Capital'!B9</f>
        <v>Total Sweat Equity</v>
      </c>
      <c r="C130" s="114"/>
      <c r="D130" s="115"/>
      <c r="E130" s="152">
        <f>'Returns on Invested Capital'!E9</f>
        <v>55000</v>
      </c>
      <c r="F130" s="152">
        <f>'Returns on Invested Capital'!F9</f>
        <v>55000</v>
      </c>
      <c r="G130" s="152">
        <f>'Returns on Invested Capital'!G9</f>
        <v>55000</v>
      </c>
      <c r="H130" s="152">
        <f>'Returns on Invested Capital'!H9</f>
        <v>55000</v>
      </c>
      <c r="I130" s="152">
        <f>'Returns on Invested Capital'!I9</f>
        <v>55000</v>
      </c>
    </row>
    <row r="131" ht="14.25" customHeight="1">
      <c r="A131" s="106"/>
      <c r="B131" s="92" t="str">
        <f>Model!B136</f>
        <v>Debt Drawdown</v>
      </c>
      <c r="C131" s="92"/>
      <c r="D131" s="85"/>
      <c r="E131" s="93">
        <f>'Returns on Invested Capital'!E10</f>
        <v>-100859.9225</v>
      </c>
      <c r="F131" s="93">
        <f>'Returns on Invested Capital'!F10</f>
        <v>-118478.3315</v>
      </c>
      <c r="G131" s="93">
        <f>'Returns on Invested Capital'!G10</f>
        <v>-108926.6835</v>
      </c>
      <c r="H131" s="93">
        <f>'Returns on Invested Capital'!H10</f>
        <v>-87763.9553</v>
      </c>
      <c r="I131" s="93">
        <f>'Returns on Invested Capital'!I10</f>
        <v>-10809.48724</v>
      </c>
    </row>
    <row r="132" ht="7.5" customHeight="1">
      <c r="A132" s="80"/>
      <c r="B132" s="75"/>
      <c r="C132" s="81"/>
      <c r="D132" s="82"/>
      <c r="E132" s="82"/>
      <c r="F132" s="82"/>
      <c r="G132" s="82"/>
      <c r="H132" s="82"/>
      <c r="I132" s="82"/>
    </row>
    <row r="133" ht="14.25" customHeight="1">
      <c r="A133" s="80"/>
      <c r="B133" s="98" t="str">
        <f>'Returns on Invested Capital'!B11</f>
        <v>Total Invested Capital</v>
      </c>
      <c r="C133" s="98"/>
      <c r="D133" s="99"/>
      <c r="E133" s="100">
        <f>'Returns on Invested Capital'!E11</f>
        <v>253390.0775</v>
      </c>
      <c r="F133" s="100">
        <f>'Returns on Invested Capital'!F11</f>
        <v>235771.6685</v>
      </c>
      <c r="G133" s="100">
        <f>'Returns on Invested Capital'!G11</f>
        <v>245323.3165</v>
      </c>
      <c r="H133" s="100">
        <f>'Returns on Invested Capital'!H11</f>
        <v>266486.0447</v>
      </c>
      <c r="I133" s="100">
        <f>'Returns on Invested Capital'!I11</f>
        <v>343440.5128</v>
      </c>
    </row>
    <row r="134" ht="7.5" customHeight="1">
      <c r="A134" s="80"/>
      <c r="B134" s="75"/>
      <c r="C134" s="81"/>
      <c r="D134" s="82"/>
      <c r="E134" s="82"/>
      <c r="F134" s="82"/>
      <c r="G134" s="82"/>
      <c r="H134" s="82"/>
      <c r="I134" s="82"/>
    </row>
    <row r="135" ht="14.25" customHeight="1">
      <c r="A135" s="80"/>
      <c r="B135" s="114" t="str">
        <f>'Returns on Invested Capital'!B17</f>
        <v>After Tax Net Income</v>
      </c>
      <c r="C135" s="114"/>
      <c r="D135" s="115"/>
      <c r="E135" s="116">
        <f>'Returns on Invested Capital'!E17</f>
        <v>-79679.33881</v>
      </c>
      <c r="F135" s="116">
        <f>'Returns on Invested Capital'!F17</f>
        <v>-13918.5431</v>
      </c>
      <c r="G135" s="116">
        <f>'Returns on Invested Capital'!G17</f>
        <v>7545.801948</v>
      </c>
      <c r="H135" s="116">
        <f>'Returns on Invested Capital'!H17</f>
        <v>16718.55528</v>
      </c>
      <c r="I135" s="116">
        <f>'Returns on Invested Capital'!I17</f>
        <v>60794.02977</v>
      </c>
    </row>
    <row r="136" ht="7.5" customHeight="1">
      <c r="A136" s="106"/>
      <c r="B136" s="75"/>
      <c r="C136" s="81"/>
      <c r="D136" s="82"/>
      <c r="E136" s="82"/>
      <c r="F136" s="82"/>
      <c r="G136" s="82"/>
      <c r="H136" s="82"/>
      <c r="I136" s="82"/>
    </row>
    <row r="137" ht="14.25" customHeight="1">
      <c r="A137" s="106"/>
      <c r="B137" s="98" t="str">
        <f>'Returns on Invested Capital'!B19</f>
        <v>ROIC</v>
      </c>
      <c r="C137" s="98"/>
      <c r="D137" s="99"/>
      <c r="E137" s="154">
        <f>'Returns on Invested Capital'!E19</f>
        <v>-0.6150987604</v>
      </c>
      <c r="F137" s="154">
        <f>'Returns on Invested Capital'!F19</f>
        <v>-0.07472657384</v>
      </c>
      <c r="G137" s="154">
        <f>'Returns on Invested Capital'!G19</f>
        <v>0.03893493766</v>
      </c>
      <c r="H137" s="154">
        <f>'Returns on Invested Capital'!H19</f>
        <v>0.07941402045</v>
      </c>
      <c r="I137" s="154">
        <f>'Returns on Invested Capital'!I19</f>
        <v>0.224069279</v>
      </c>
    </row>
    <row r="138" ht="14.25" customHeight="1">
      <c r="A138" s="106"/>
      <c r="B138" s="105"/>
      <c r="C138" s="105"/>
      <c r="D138" s="105"/>
      <c r="E138" s="121"/>
      <c r="F138" s="121"/>
      <c r="G138" s="121"/>
      <c r="H138" s="121"/>
      <c r="I138" s="121"/>
    </row>
    <row r="139" ht="14.25" customHeight="1">
      <c r="A139" s="106"/>
      <c r="B139" s="92"/>
      <c r="C139" s="92"/>
      <c r="D139" s="92"/>
      <c r="E139" s="119"/>
      <c r="F139" s="119"/>
      <c r="G139" s="119"/>
      <c r="H139" s="119"/>
      <c r="I139" s="119"/>
    </row>
    <row r="140" ht="14.25" customHeight="1">
      <c r="A140" s="106"/>
      <c r="B140" s="83" t="s">
        <v>69</v>
      </c>
      <c r="C140" s="84"/>
      <c r="D140" s="84"/>
      <c r="E140" s="84"/>
      <c r="F140" s="84"/>
      <c r="G140" s="84"/>
      <c r="H140" s="84"/>
      <c r="I140" s="84"/>
    </row>
    <row r="141" ht="14.25" customHeight="1">
      <c r="A141" s="106"/>
      <c r="B141" s="75"/>
      <c r="C141" s="75"/>
      <c r="D141" s="75"/>
      <c r="E141" s="75"/>
      <c r="F141" s="75"/>
      <c r="G141" s="75"/>
      <c r="H141" s="75"/>
      <c r="I141" s="75"/>
    </row>
    <row r="142" ht="14.25" customHeight="1">
      <c r="A142" s="106"/>
      <c r="B142" s="114" t="str">
        <f>Valuation!B5</f>
        <v>EBITDA Multiple</v>
      </c>
      <c r="C142" s="155">
        <f>Valuation!E5</f>
        <v>5</v>
      </c>
      <c r="D142" s="75"/>
      <c r="E142" s="75"/>
      <c r="F142" s="75"/>
      <c r="G142" s="75"/>
      <c r="H142" s="75"/>
      <c r="I142" s="75"/>
    </row>
    <row r="143" ht="14.25" customHeight="1">
      <c r="A143" s="106"/>
      <c r="B143" s="114" t="str">
        <f>Valuation!B15</f>
        <v>Estimated value</v>
      </c>
      <c r="C143" s="114"/>
      <c r="D143" s="115"/>
      <c r="E143" s="152">
        <f>Valuation!E15</f>
        <v>-436570.2377</v>
      </c>
      <c r="F143" s="152">
        <f>Valuation!F15</f>
        <v>244163.58</v>
      </c>
      <c r="G143" s="152">
        <f>Valuation!G15</f>
        <v>369540.1152</v>
      </c>
      <c r="H143" s="152">
        <f>Valuation!H15</f>
        <v>417121.766</v>
      </c>
      <c r="I143" s="152">
        <f>Valuation!I15</f>
        <v>463325.4653</v>
      </c>
    </row>
    <row r="144" ht="7.5" customHeight="1">
      <c r="A144" s="80"/>
      <c r="B144" s="75"/>
      <c r="C144" s="81"/>
      <c r="D144" s="82"/>
      <c r="E144" s="153"/>
      <c r="F144" s="153"/>
      <c r="G144" s="153"/>
      <c r="H144" s="153"/>
      <c r="I144" s="153"/>
    </row>
    <row r="145" ht="14.25" customHeight="1">
      <c r="A145" s="106"/>
      <c r="B145" s="114" t="str">
        <f>Valuation!B10</f>
        <v>Adj Net Operating Income</v>
      </c>
      <c r="C145" s="114"/>
      <c r="D145" s="115"/>
      <c r="E145" s="152">
        <f>Valuation!E10</f>
        <v>-87314.04755</v>
      </c>
      <c r="F145" s="152">
        <f>Valuation!F10</f>
        <v>48832.71601</v>
      </c>
      <c r="G145" s="152">
        <f>Valuation!G10</f>
        <v>73908.02304</v>
      </c>
      <c r="H145" s="152">
        <f>Valuation!H10</f>
        <v>83424.3532</v>
      </c>
      <c r="I145" s="152">
        <f>Valuation!I10</f>
        <v>92665.09306</v>
      </c>
    </row>
    <row r="146" ht="14.25" customHeight="1">
      <c r="A146" s="106"/>
      <c r="B146" s="114" t="str">
        <f>Valuation!B15</f>
        <v>Estimated value</v>
      </c>
      <c r="C146" s="114"/>
      <c r="D146" s="115"/>
      <c r="E146" s="152">
        <f>Valuation!E15</f>
        <v>-436570.2377</v>
      </c>
      <c r="F146" s="152">
        <f>Valuation!F15</f>
        <v>244163.58</v>
      </c>
      <c r="G146" s="152">
        <f>Valuation!G15</f>
        <v>369540.1152</v>
      </c>
      <c r="H146" s="152">
        <f>Valuation!H15</f>
        <v>417121.766</v>
      </c>
      <c r="I146" s="152">
        <f>Valuation!I15</f>
        <v>463325.4653</v>
      </c>
    </row>
    <row r="147" ht="7.5" customHeight="1">
      <c r="A147" s="80"/>
      <c r="B147" s="75"/>
      <c r="C147" s="81"/>
      <c r="D147" s="82"/>
      <c r="E147" s="153"/>
      <c r="F147" s="153"/>
      <c r="G147" s="153"/>
      <c r="H147" s="153"/>
      <c r="I147" s="153"/>
    </row>
    <row r="148" ht="14.25" customHeight="1">
      <c r="A148" s="106"/>
      <c r="B148" s="156" t="str">
        <f>Valuation!B19</f>
        <v>Replacement return required</v>
      </c>
      <c r="C148" s="156"/>
      <c r="D148" s="156"/>
      <c r="E148" s="157">
        <f>Valuation!E19</f>
        <v>0</v>
      </c>
      <c r="F148" s="157">
        <f>Valuation!F19</f>
        <v>0.253164557</v>
      </c>
      <c r="G148" s="157">
        <f>Valuation!G19</f>
        <v>0.253164557</v>
      </c>
      <c r="H148" s="157">
        <f>Valuation!H19</f>
        <v>0.253164557</v>
      </c>
      <c r="I148" s="157">
        <f>Valuation!I19</f>
        <v>0.253164557</v>
      </c>
    </row>
    <row r="149" ht="14.25" customHeight="1">
      <c r="A149" s="106"/>
      <c r="B149" s="75"/>
      <c r="C149" s="75"/>
      <c r="D149" s="75"/>
      <c r="E149" s="75"/>
      <c r="F149" s="75"/>
      <c r="G149" s="75"/>
      <c r="H149" s="75"/>
      <c r="I149" s="75"/>
    </row>
    <row r="150" ht="14.25" customHeight="1">
      <c r="A150" s="106"/>
      <c r="B150" s="75"/>
      <c r="C150" s="75"/>
      <c r="D150" s="75"/>
      <c r="E150" s="75"/>
      <c r="F150" s="75"/>
      <c r="G150" s="75"/>
      <c r="H150" s="75"/>
      <c r="I150" s="75"/>
    </row>
    <row r="151" ht="14.25" customHeight="1">
      <c r="A151" s="106"/>
      <c r="B151" s="75"/>
      <c r="C151" s="75"/>
      <c r="D151" s="75"/>
      <c r="E151" s="75"/>
      <c r="F151" s="75"/>
      <c r="G151" s="75"/>
      <c r="H151" s="75"/>
      <c r="I151" s="75"/>
    </row>
    <row r="152" ht="14.25" customHeight="1">
      <c r="A152" s="106"/>
      <c r="B152" s="75"/>
      <c r="C152" s="75"/>
      <c r="D152" s="75"/>
      <c r="E152" s="75"/>
      <c r="F152" s="75"/>
      <c r="G152" s="75"/>
      <c r="H152" s="75"/>
      <c r="I152" s="75"/>
    </row>
    <row r="153" ht="14.25" customHeight="1">
      <c r="A153" s="106"/>
      <c r="B153" s="75"/>
      <c r="C153" s="75"/>
      <c r="D153" s="75"/>
      <c r="E153" s="75"/>
      <c r="F153" s="75"/>
      <c r="G153" s="75"/>
      <c r="H153" s="75"/>
      <c r="I153" s="75"/>
    </row>
    <row r="154" ht="14.25" customHeight="1">
      <c r="A154" s="106"/>
      <c r="B154" s="75"/>
      <c r="C154" s="75"/>
      <c r="D154" s="75"/>
      <c r="E154" s="75"/>
      <c r="F154" s="75"/>
      <c r="G154" s="75"/>
      <c r="H154" s="75"/>
      <c r="I154" s="75"/>
    </row>
    <row r="155" ht="14.25" customHeight="1">
      <c r="A155" s="106"/>
      <c r="B155" s="75"/>
      <c r="C155" s="75"/>
      <c r="D155" s="75"/>
      <c r="E155" s="75"/>
      <c r="F155" s="75"/>
      <c r="G155" s="75"/>
      <c r="H155" s="75"/>
      <c r="I155" s="75"/>
    </row>
    <row r="156" ht="14.25" customHeight="1">
      <c r="A156" s="106"/>
      <c r="B156" s="75"/>
      <c r="C156" s="75"/>
      <c r="D156" s="75"/>
      <c r="E156" s="75"/>
      <c r="F156" s="75"/>
      <c r="G156" s="75"/>
      <c r="H156" s="75"/>
      <c r="I156" s="75"/>
    </row>
    <row r="157" ht="14.25" customHeight="1">
      <c r="A157" s="106"/>
      <c r="B157" s="75"/>
      <c r="C157" s="75"/>
      <c r="D157" s="75"/>
      <c r="E157" s="75"/>
      <c r="F157" s="75"/>
      <c r="G157" s="75"/>
      <c r="H157" s="75"/>
      <c r="I157" s="75"/>
    </row>
    <row r="158" ht="14.25" customHeight="1">
      <c r="A158" s="106"/>
      <c r="B158" s="75"/>
      <c r="C158" s="75"/>
      <c r="D158" s="75"/>
      <c r="E158" s="75"/>
      <c r="F158" s="75"/>
      <c r="G158" s="75"/>
      <c r="H158" s="75"/>
      <c r="I158" s="75"/>
    </row>
    <row r="159" ht="14.25" customHeight="1">
      <c r="A159" s="106"/>
      <c r="B159" s="75"/>
      <c r="C159" s="75"/>
      <c r="D159" s="75"/>
      <c r="E159" s="75"/>
      <c r="F159" s="75"/>
      <c r="G159" s="75"/>
      <c r="H159" s="75"/>
      <c r="I159" s="75"/>
    </row>
    <row r="160" ht="14.25" customHeight="1">
      <c r="A160" s="106"/>
      <c r="B160" s="75"/>
      <c r="C160" s="75"/>
      <c r="D160" s="75"/>
      <c r="E160" s="75"/>
      <c r="F160" s="75"/>
      <c r="G160" s="75"/>
      <c r="H160" s="75"/>
      <c r="I160" s="75"/>
    </row>
    <row r="161" ht="14.25" customHeight="1">
      <c r="A161" s="106"/>
      <c r="B161" s="75"/>
      <c r="C161" s="75"/>
      <c r="D161" s="75"/>
      <c r="E161" s="75"/>
      <c r="F161" s="75"/>
      <c r="G161" s="75"/>
      <c r="H161" s="75"/>
      <c r="I161" s="75"/>
    </row>
    <row r="162" ht="14.25" customHeight="1">
      <c r="A162" s="106"/>
      <c r="B162" s="75"/>
      <c r="C162" s="75"/>
      <c r="D162" s="75"/>
      <c r="E162" s="75"/>
      <c r="F162" s="75"/>
      <c r="G162" s="75"/>
      <c r="H162" s="75"/>
      <c r="I162" s="75"/>
    </row>
    <row r="163" ht="14.25" customHeight="1">
      <c r="A163" s="106"/>
      <c r="B163" s="75"/>
      <c r="C163" s="75"/>
      <c r="D163" s="75"/>
      <c r="E163" s="75"/>
      <c r="F163" s="75"/>
      <c r="G163" s="75"/>
      <c r="H163" s="75"/>
      <c r="I163" s="75"/>
    </row>
    <row r="164" ht="14.25" customHeight="1">
      <c r="A164" s="106"/>
      <c r="B164" s="75"/>
      <c r="C164" s="75"/>
      <c r="D164" s="75"/>
      <c r="E164" s="75"/>
      <c r="F164" s="75"/>
      <c r="G164" s="75"/>
      <c r="H164" s="75"/>
      <c r="I164" s="75"/>
    </row>
    <row r="165" ht="14.25" customHeight="1">
      <c r="A165" s="106"/>
      <c r="B165" s="75"/>
      <c r="C165" s="75"/>
      <c r="D165" s="75"/>
      <c r="E165" s="75"/>
      <c r="F165" s="75"/>
      <c r="G165" s="75"/>
      <c r="H165" s="75"/>
      <c r="I165" s="75"/>
    </row>
    <row r="166" ht="14.25" customHeight="1">
      <c r="A166" s="106"/>
      <c r="B166" s="75"/>
      <c r="C166" s="75"/>
      <c r="D166" s="75"/>
      <c r="E166" s="75"/>
      <c r="F166" s="75"/>
      <c r="G166" s="75"/>
      <c r="H166" s="75"/>
      <c r="I166" s="75"/>
    </row>
    <row r="167" ht="14.25" customHeight="1">
      <c r="A167" s="106"/>
      <c r="B167" s="75"/>
      <c r="C167" s="75"/>
      <c r="D167" s="75"/>
      <c r="E167" s="75"/>
      <c r="F167" s="75"/>
      <c r="G167" s="75"/>
      <c r="H167" s="75"/>
      <c r="I167" s="75"/>
    </row>
    <row r="168" ht="14.25" customHeight="1">
      <c r="A168" s="106"/>
      <c r="B168" s="75"/>
      <c r="C168" s="75"/>
      <c r="D168" s="75"/>
      <c r="E168" s="75"/>
      <c r="F168" s="75"/>
      <c r="G168" s="75"/>
      <c r="H168" s="75"/>
      <c r="I168" s="75"/>
    </row>
    <row r="169" ht="14.25" customHeight="1">
      <c r="A169" s="106"/>
      <c r="B169" s="75"/>
      <c r="C169" s="75"/>
      <c r="D169" s="75"/>
      <c r="E169" s="75"/>
      <c r="F169" s="75"/>
      <c r="G169" s="75"/>
      <c r="H169" s="75"/>
      <c r="I169" s="75"/>
    </row>
    <row r="170" ht="14.25" customHeight="1">
      <c r="A170" s="106"/>
      <c r="B170" s="75"/>
      <c r="C170" s="75"/>
      <c r="D170" s="75"/>
      <c r="E170" s="75"/>
      <c r="F170" s="75"/>
      <c r="G170" s="75"/>
      <c r="H170" s="75"/>
      <c r="I170" s="75"/>
    </row>
    <row r="171" ht="14.25" customHeight="1">
      <c r="A171" s="106"/>
      <c r="B171" s="75"/>
      <c r="C171" s="75"/>
      <c r="D171" s="75"/>
      <c r="E171" s="75"/>
      <c r="F171" s="75"/>
      <c r="G171" s="75"/>
      <c r="H171" s="75"/>
      <c r="I171" s="75"/>
    </row>
    <row r="172" ht="14.25" customHeight="1">
      <c r="A172" s="106"/>
      <c r="B172" s="75"/>
      <c r="C172" s="75"/>
      <c r="D172" s="75"/>
      <c r="E172" s="75"/>
      <c r="F172" s="75"/>
      <c r="G172" s="75"/>
      <c r="H172" s="75"/>
      <c r="I172" s="75"/>
    </row>
    <row r="173" ht="14.25" customHeight="1">
      <c r="A173" s="106"/>
      <c r="B173" s="75"/>
      <c r="C173" s="75"/>
      <c r="D173" s="75"/>
      <c r="E173" s="75"/>
      <c r="F173" s="75"/>
      <c r="G173" s="75"/>
      <c r="H173" s="75"/>
      <c r="I173" s="75"/>
    </row>
    <row r="174" ht="14.25" customHeight="1">
      <c r="A174" s="106"/>
      <c r="B174" s="75"/>
      <c r="C174" s="75"/>
      <c r="D174" s="75"/>
      <c r="E174" s="75"/>
      <c r="F174" s="75"/>
      <c r="G174" s="75"/>
      <c r="H174" s="75"/>
      <c r="I174" s="75"/>
    </row>
    <row r="175" ht="14.25" customHeight="1">
      <c r="A175" s="106"/>
      <c r="B175" s="75"/>
      <c r="C175" s="75"/>
      <c r="D175" s="75"/>
      <c r="E175" s="75"/>
      <c r="F175" s="75"/>
      <c r="G175" s="75"/>
      <c r="H175" s="75"/>
      <c r="I175" s="75"/>
    </row>
    <row r="176" ht="14.25" customHeight="1">
      <c r="A176" s="106"/>
      <c r="B176" s="75"/>
      <c r="C176" s="75"/>
      <c r="D176" s="75"/>
      <c r="E176" s="75"/>
      <c r="F176" s="75"/>
      <c r="G176" s="75"/>
      <c r="H176" s="75"/>
      <c r="I176" s="75"/>
    </row>
    <row r="177" ht="14.25" customHeight="1">
      <c r="A177" s="106"/>
      <c r="B177" s="75"/>
      <c r="C177" s="75"/>
      <c r="D177" s="75"/>
      <c r="E177" s="75"/>
      <c r="F177" s="75"/>
      <c r="G177" s="75"/>
      <c r="H177" s="75"/>
      <c r="I177" s="75"/>
    </row>
    <row r="178" ht="14.25" customHeight="1">
      <c r="A178" s="106"/>
      <c r="B178" s="75"/>
      <c r="C178" s="75"/>
      <c r="D178" s="75"/>
      <c r="E178" s="75"/>
      <c r="F178" s="75"/>
      <c r="G178" s="75"/>
      <c r="H178" s="75"/>
      <c r="I178" s="75"/>
    </row>
    <row r="179" ht="14.25" customHeight="1">
      <c r="A179" s="106"/>
      <c r="B179" s="75"/>
      <c r="C179" s="75"/>
      <c r="D179" s="75"/>
      <c r="E179" s="75"/>
      <c r="F179" s="75"/>
      <c r="G179" s="75"/>
      <c r="H179" s="75"/>
      <c r="I179" s="75"/>
    </row>
    <row r="180" ht="14.25" customHeight="1">
      <c r="A180" s="106"/>
      <c r="B180" s="75"/>
      <c r="C180" s="75"/>
      <c r="D180" s="75"/>
      <c r="E180" s="75"/>
      <c r="F180" s="75"/>
      <c r="G180" s="75"/>
      <c r="H180" s="75"/>
      <c r="I180" s="75"/>
    </row>
    <row r="181" ht="14.25" customHeight="1">
      <c r="A181" s="106"/>
      <c r="B181" s="75"/>
      <c r="C181" s="75"/>
      <c r="D181" s="75"/>
      <c r="E181" s="75"/>
      <c r="F181" s="75"/>
      <c r="G181" s="75"/>
      <c r="H181" s="75"/>
      <c r="I181" s="75"/>
    </row>
    <row r="182" ht="14.25" customHeight="1">
      <c r="A182" s="106"/>
      <c r="B182" s="75"/>
      <c r="C182" s="75"/>
      <c r="D182" s="75"/>
      <c r="E182" s="75"/>
      <c r="F182" s="75"/>
      <c r="G182" s="75"/>
      <c r="H182" s="75"/>
      <c r="I182" s="75"/>
    </row>
    <row r="183" ht="14.25" customHeight="1">
      <c r="A183" s="106"/>
      <c r="B183" s="75"/>
      <c r="C183" s="75"/>
      <c r="D183" s="75"/>
      <c r="E183" s="75"/>
      <c r="F183" s="75"/>
      <c r="G183" s="75"/>
      <c r="H183" s="75"/>
      <c r="I183" s="75"/>
    </row>
    <row r="184" ht="14.25" customHeight="1">
      <c r="A184" s="106"/>
      <c r="B184" s="75"/>
      <c r="C184" s="75"/>
      <c r="D184" s="75"/>
      <c r="E184" s="75"/>
      <c r="F184" s="75"/>
      <c r="G184" s="75"/>
      <c r="H184" s="75"/>
      <c r="I184" s="75"/>
    </row>
    <row r="185" ht="14.25" customHeight="1">
      <c r="A185" s="106"/>
      <c r="B185" s="75"/>
      <c r="C185" s="75"/>
      <c r="D185" s="75"/>
      <c r="E185" s="75"/>
      <c r="F185" s="75"/>
      <c r="G185" s="75"/>
      <c r="H185" s="75"/>
      <c r="I185" s="75"/>
    </row>
    <row r="186" ht="14.25" customHeight="1">
      <c r="A186" s="106"/>
      <c r="B186" s="75"/>
      <c r="C186" s="75"/>
      <c r="D186" s="75"/>
      <c r="E186" s="75"/>
      <c r="F186" s="75"/>
      <c r="G186" s="75"/>
      <c r="H186" s="75"/>
      <c r="I186" s="75"/>
    </row>
    <row r="187" ht="14.25" customHeight="1">
      <c r="A187" s="106"/>
      <c r="B187" s="75"/>
      <c r="C187" s="75"/>
      <c r="D187" s="75"/>
      <c r="E187" s="75"/>
      <c r="F187" s="75"/>
      <c r="G187" s="75"/>
      <c r="H187" s="75"/>
      <c r="I187" s="75"/>
    </row>
    <row r="188" ht="14.25" customHeight="1">
      <c r="A188" s="106"/>
      <c r="B188" s="75"/>
      <c r="C188" s="75"/>
      <c r="D188" s="75"/>
      <c r="E188" s="75"/>
      <c r="F188" s="75"/>
      <c r="G188" s="75"/>
      <c r="H188" s="75"/>
      <c r="I188" s="75"/>
    </row>
    <row r="189" ht="14.25" customHeight="1">
      <c r="A189" s="106"/>
      <c r="B189" s="75"/>
      <c r="C189" s="75"/>
      <c r="D189" s="75"/>
      <c r="E189" s="75"/>
      <c r="F189" s="75"/>
      <c r="G189" s="75"/>
      <c r="H189" s="75"/>
      <c r="I189" s="75"/>
    </row>
    <row r="190" ht="14.25" customHeight="1">
      <c r="A190" s="106"/>
      <c r="B190" s="75"/>
      <c r="C190" s="75"/>
      <c r="D190" s="75"/>
      <c r="E190" s="75"/>
      <c r="F190" s="75"/>
      <c r="G190" s="75"/>
      <c r="H190" s="75"/>
      <c r="I190" s="75"/>
    </row>
    <row r="191" ht="14.25" customHeight="1">
      <c r="A191" s="106"/>
      <c r="B191" s="75"/>
      <c r="C191" s="75"/>
      <c r="D191" s="75"/>
      <c r="E191" s="75"/>
      <c r="F191" s="75"/>
      <c r="G191" s="75"/>
      <c r="H191" s="75"/>
      <c r="I191" s="75"/>
    </row>
    <row r="192" ht="14.25" customHeight="1">
      <c r="A192" s="106"/>
      <c r="B192" s="75"/>
      <c r="C192" s="75"/>
      <c r="D192" s="75"/>
      <c r="E192" s="75"/>
      <c r="F192" s="75"/>
      <c r="G192" s="75"/>
      <c r="H192" s="75"/>
      <c r="I192" s="75"/>
    </row>
    <row r="193" ht="14.25" customHeight="1">
      <c r="A193" s="106"/>
      <c r="B193" s="75"/>
      <c r="C193" s="75"/>
      <c r="D193" s="75"/>
      <c r="E193" s="75"/>
      <c r="F193" s="75"/>
      <c r="G193" s="75"/>
      <c r="H193" s="75"/>
      <c r="I193" s="75"/>
    </row>
    <row r="194" ht="14.25" customHeight="1">
      <c r="A194" s="106"/>
      <c r="B194" s="75"/>
      <c r="C194" s="75"/>
      <c r="D194" s="75"/>
      <c r="E194" s="75"/>
      <c r="F194" s="75"/>
      <c r="G194" s="75"/>
      <c r="H194" s="75"/>
      <c r="I194" s="75"/>
    </row>
    <row r="195" ht="14.25" customHeight="1">
      <c r="A195" s="106"/>
      <c r="B195" s="75"/>
      <c r="C195" s="75"/>
      <c r="D195" s="75"/>
      <c r="E195" s="75"/>
      <c r="F195" s="75"/>
      <c r="G195" s="75"/>
      <c r="H195" s="75"/>
      <c r="I195" s="75"/>
    </row>
    <row r="196" ht="14.25" customHeight="1">
      <c r="A196" s="106"/>
      <c r="B196" s="75"/>
      <c r="C196" s="75"/>
      <c r="D196" s="75"/>
      <c r="E196" s="75"/>
      <c r="F196" s="75"/>
      <c r="G196" s="75"/>
      <c r="H196" s="75"/>
      <c r="I196" s="75"/>
    </row>
    <row r="197" ht="14.25" customHeight="1">
      <c r="A197" s="106"/>
      <c r="B197" s="75"/>
      <c r="C197" s="75"/>
      <c r="D197" s="75"/>
      <c r="E197" s="75"/>
      <c r="F197" s="75"/>
      <c r="G197" s="75"/>
      <c r="H197" s="75"/>
      <c r="I197" s="75"/>
    </row>
    <row r="198" ht="14.25" customHeight="1">
      <c r="A198" s="106"/>
      <c r="B198" s="75"/>
      <c r="C198" s="75"/>
      <c r="D198" s="75"/>
      <c r="E198" s="75"/>
      <c r="F198" s="75"/>
      <c r="G198" s="75"/>
      <c r="H198" s="75"/>
      <c r="I198" s="75"/>
    </row>
    <row r="199" ht="14.25" customHeight="1">
      <c r="A199" s="106"/>
      <c r="B199" s="75"/>
      <c r="C199" s="75"/>
      <c r="D199" s="75"/>
      <c r="E199" s="75"/>
      <c r="F199" s="75"/>
      <c r="G199" s="75"/>
      <c r="H199" s="75"/>
      <c r="I199" s="75"/>
    </row>
    <row r="200" ht="14.25" customHeight="1">
      <c r="A200" s="106"/>
      <c r="B200" s="75"/>
      <c r="C200" s="75"/>
      <c r="D200" s="75"/>
      <c r="E200" s="75"/>
      <c r="F200" s="75"/>
      <c r="G200" s="75"/>
      <c r="H200" s="75"/>
      <c r="I200" s="75"/>
    </row>
    <row r="201" ht="14.25" customHeight="1">
      <c r="A201" s="106"/>
      <c r="B201" s="75"/>
      <c r="C201" s="75"/>
      <c r="D201" s="75"/>
      <c r="E201" s="75"/>
      <c r="F201" s="75"/>
      <c r="G201" s="75"/>
      <c r="H201" s="75"/>
      <c r="I201" s="75"/>
    </row>
    <row r="202" ht="14.25" customHeight="1">
      <c r="A202" s="106"/>
      <c r="B202" s="75"/>
      <c r="C202" s="75"/>
      <c r="D202" s="75"/>
      <c r="E202" s="75"/>
      <c r="F202" s="75"/>
      <c r="G202" s="75"/>
      <c r="H202" s="75"/>
      <c r="I202" s="75"/>
    </row>
    <row r="203" ht="14.25" customHeight="1">
      <c r="A203" s="106"/>
      <c r="B203" s="75"/>
      <c r="C203" s="75"/>
      <c r="D203" s="75"/>
      <c r="E203" s="75"/>
      <c r="F203" s="75"/>
      <c r="G203" s="75"/>
      <c r="H203" s="75"/>
      <c r="I203" s="75"/>
    </row>
    <row r="204" ht="14.25" customHeight="1">
      <c r="A204" s="106"/>
      <c r="B204" s="75"/>
      <c r="C204" s="75"/>
      <c r="D204" s="75"/>
      <c r="E204" s="75"/>
      <c r="F204" s="75"/>
      <c r="G204" s="75"/>
      <c r="H204" s="75"/>
      <c r="I204" s="75"/>
    </row>
    <row r="205" ht="14.25" customHeight="1">
      <c r="A205" s="106"/>
      <c r="B205" s="75"/>
      <c r="C205" s="75"/>
      <c r="D205" s="75"/>
      <c r="E205" s="75"/>
      <c r="F205" s="75"/>
      <c r="G205" s="75"/>
      <c r="H205" s="75"/>
      <c r="I205" s="75"/>
    </row>
    <row r="206" ht="14.25" customHeight="1">
      <c r="A206" s="106"/>
      <c r="B206" s="75"/>
      <c r="C206" s="75"/>
      <c r="D206" s="75"/>
      <c r="E206" s="75"/>
      <c r="F206" s="75"/>
      <c r="G206" s="75"/>
      <c r="H206" s="75"/>
      <c r="I206" s="75"/>
    </row>
    <row r="207" ht="14.25" customHeight="1">
      <c r="A207" s="106"/>
      <c r="B207" s="75"/>
      <c r="C207" s="75"/>
      <c r="D207" s="75"/>
      <c r="E207" s="75"/>
      <c r="F207" s="75"/>
      <c r="G207" s="75"/>
      <c r="H207" s="75"/>
      <c r="I207" s="75"/>
    </row>
    <row r="208" ht="14.25" customHeight="1">
      <c r="A208" s="106"/>
      <c r="B208" s="75"/>
      <c r="C208" s="75"/>
      <c r="D208" s="75"/>
      <c r="E208" s="75"/>
      <c r="F208" s="75"/>
      <c r="G208" s="75"/>
      <c r="H208" s="75"/>
      <c r="I208" s="75"/>
    </row>
    <row r="209" ht="14.25" customHeight="1">
      <c r="A209" s="106"/>
      <c r="B209" s="75"/>
      <c r="C209" s="75"/>
      <c r="D209" s="75"/>
      <c r="E209" s="75"/>
      <c r="F209" s="75"/>
      <c r="G209" s="75"/>
      <c r="H209" s="75"/>
      <c r="I209" s="75"/>
    </row>
    <row r="210" ht="14.25" customHeight="1">
      <c r="A210" s="106"/>
      <c r="B210" s="75"/>
      <c r="C210" s="75"/>
      <c r="D210" s="75"/>
      <c r="E210" s="75"/>
      <c r="F210" s="75"/>
      <c r="G210" s="75"/>
      <c r="H210" s="75"/>
      <c r="I210" s="75"/>
    </row>
    <row r="211" ht="14.25" customHeight="1">
      <c r="A211" s="106"/>
      <c r="B211" s="75"/>
      <c r="C211" s="75"/>
      <c r="D211" s="75"/>
      <c r="E211" s="75"/>
      <c r="F211" s="75"/>
      <c r="G211" s="75"/>
      <c r="H211" s="75"/>
      <c r="I211" s="75"/>
    </row>
    <row r="212" ht="14.25" customHeight="1">
      <c r="A212" s="106"/>
      <c r="B212" s="75"/>
      <c r="C212" s="75"/>
      <c r="D212" s="75"/>
      <c r="E212" s="75"/>
      <c r="F212" s="75"/>
      <c r="G212" s="75"/>
      <c r="H212" s="75"/>
      <c r="I212" s="75"/>
    </row>
    <row r="213" ht="14.25" customHeight="1">
      <c r="A213" s="106"/>
      <c r="B213" s="75"/>
      <c r="C213" s="75"/>
      <c r="D213" s="75"/>
      <c r="E213" s="75"/>
      <c r="F213" s="75"/>
      <c r="G213" s="75"/>
      <c r="H213" s="75"/>
      <c r="I213" s="75"/>
    </row>
    <row r="214" ht="14.25" customHeight="1">
      <c r="A214" s="106"/>
      <c r="B214" s="75"/>
      <c r="C214" s="75"/>
      <c r="D214" s="75"/>
      <c r="E214" s="75"/>
      <c r="F214" s="75"/>
      <c r="G214" s="75"/>
      <c r="H214" s="75"/>
      <c r="I214" s="75"/>
    </row>
    <row r="215" ht="14.25" customHeight="1">
      <c r="A215" s="106"/>
      <c r="B215" s="75"/>
      <c r="C215" s="75"/>
      <c r="D215" s="75"/>
      <c r="E215" s="75"/>
      <c r="F215" s="75"/>
      <c r="G215" s="75"/>
      <c r="H215" s="75"/>
      <c r="I215" s="75"/>
    </row>
    <row r="216" ht="14.25" customHeight="1">
      <c r="A216" s="106"/>
      <c r="B216" s="75"/>
      <c r="C216" s="75"/>
      <c r="D216" s="75"/>
      <c r="E216" s="75"/>
      <c r="F216" s="75"/>
      <c r="G216" s="75"/>
      <c r="H216" s="75"/>
      <c r="I216" s="75"/>
    </row>
    <row r="217" ht="14.25" customHeight="1">
      <c r="A217" s="106"/>
      <c r="B217" s="75"/>
      <c r="C217" s="75"/>
      <c r="D217" s="75"/>
      <c r="E217" s="75"/>
      <c r="F217" s="75"/>
      <c r="G217" s="75"/>
      <c r="H217" s="75"/>
      <c r="I217" s="75"/>
    </row>
    <row r="218" ht="14.25" customHeight="1">
      <c r="A218" s="106"/>
      <c r="B218" s="75"/>
      <c r="C218" s="75"/>
      <c r="D218" s="75"/>
      <c r="E218" s="75"/>
      <c r="F218" s="75"/>
      <c r="G218" s="75"/>
      <c r="H218" s="75"/>
      <c r="I218" s="75"/>
    </row>
    <row r="219" ht="14.25" customHeight="1">
      <c r="A219" s="106"/>
      <c r="B219" s="75"/>
      <c r="C219" s="75"/>
      <c r="D219" s="75"/>
      <c r="E219" s="75"/>
      <c r="F219" s="75"/>
      <c r="G219" s="75"/>
      <c r="H219" s="75"/>
      <c r="I219" s="75"/>
    </row>
    <row r="220" ht="14.25" customHeight="1">
      <c r="A220" s="106"/>
      <c r="B220" s="75"/>
      <c r="C220" s="75"/>
      <c r="D220" s="75"/>
      <c r="E220" s="75"/>
      <c r="F220" s="75"/>
      <c r="G220" s="75"/>
      <c r="H220" s="75"/>
      <c r="I220" s="75"/>
    </row>
    <row r="221" ht="14.25" customHeight="1">
      <c r="A221" s="106"/>
      <c r="B221" s="75"/>
      <c r="C221" s="75"/>
      <c r="D221" s="75"/>
      <c r="E221" s="75"/>
      <c r="F221" s="75"/>
      <c r="G221" s="75"/>
      <c r="H221" s="75"/>
      <c r="I221" s="75"/>
    </row>
    <row r="222" ht="14.25" customHeight="1">
      <c r="A222" s="106"/>
      <c r="B222" s="75"/>
      <c r="C222" s="75"/>
      <c r="D222" s="75"/>
      <c r="E222" s="75"/>
      <c r="F222" s="75"/>
      <c r="G222" s="75"/>
      <c r="H222" s="75"/>
      <c r="I222" s="75"/>
    </row>
    <row r="223" ht="14.25" customHeight="1">
      <c r="A223" s="106"/>
      <c r="B223" s="75"/>
      <c r="C223" s="75"/>
      <c r="D223" s="75"/>
      <c r="E223" s="75"/>
      <c r="F223" s="75"/>
      <c r="G223" s="75"/>
      <c r="H223" s="75"/>
      <c r="I223" s="75"/>
    </row>
    <row r="224" ht="14.25" customHeight="1">
      <c r="A224" s="106"/>
      <c r="B224" s="75"/>
      <c r="C224" s="75"/>
      <c r="D224" s="75"/>
      <c r="E224" s="75"/>
      <c r="F224" s="75"/>
      <c r="G224" s="75"/>
      <c r="H224" s="75"/>
      <c r="I224" s="75"/>
    </row>
    <row r="225" ht="14.25" customHeight="1">
      <c r="A225" s="106"/>
      <c r="B225" s="75"/>
      <c r="C225" s="75"/>
      <c r="D225" s="75"/>
      <c r="E225" s="75"/>
      <c r="F225" s="75"/>
      <c r="G225" s="75"/>
      <c r="H225" s="75"/>
      <c r="I225" s="75"/>
    </row>
    <row r="226" ht="14.25" customHeight="1">
      <c r="A226" s="106"/>
      <c r="B226" s="75"/>
      <c r="C226" s="75"/>
      <c r="D226" s="75"/>
      <c r="E226" s="75"/>
      <c r="F226" s="75"/>
      <c r="G226" s="75"/>
      <c r="H226" s="75"/>
      <c r="I226" s="75"/>
    </row>
    <row r="227" ht="14.25" customHeight="1">
      <c r="A227" s="106"/>
      <c r="B227" s="75"/>
      <c r="C227" s="75"/>
      <c r="D227" s="75"/>
      <c r="E227" s="75"/>
      <c r="F227" s="75"/>
      <c r="G227" s="75"/>
      <c r="H227" s="75"/>
      <c r="I227" s="75"/>
    </row>
    <row r="228" ht="14.25" customHeight="1">
      <c r="A228" s="106"/>
      <c r="B228" s="75"/>
      <c r="C228" s="75"/>
      <c r="D228" s="75"/>
      <c r="E228" s="75"/>
      <c r="F228" s="75"/>
      <c r="G228" s="75"/>
      <c r="H228" s="75"/>
      <c r="I228" s="75"/>
    </row>
    <row r="229" ht="14.25" customHeight="1">
      <c r="A229" s="106"/>
      <c r="B229" s="75"/>
      <c r="C229" s="75"/>
      <c r="D229" s="75"/>
      <c r="E229" s="75"/>
      <c r="F229" s="75"/>
      <c r="G229" s="75"/>
      <c r="H229" s="75"/>
      <c r="I229" s="75"/>
    </row>
    <row r="230" ht="14.25" customHeight="1">
      <c r="A230" s="106"/>
      <c r="B230" s="75"/>
      <c r="C230" s="75"/>
      <c r="D230" s="75"/>
      <c r="E230" s="75"/>
      <c r="F230" s="75"/>
      <c r="G230" s="75"/>
      <c r="H230" s="75"/>
      <c r="I230" s="75"/>
    </row>
    <row r="231" ht="14.25" customHeight="1">
      <c r="A231" s="106"/>
      <c r="B231" s="75"/>
      <c r="C231" s="75"/>
      <c r="D231" s="75"/>
      <c r="E231" s="75"/>
      <c r="F231" s="75"/>
      <c r="G231" s="75"/>
      <c r="H231" s="75"/>
      <c r="I231" s="75"/>
    </row>
    <row r="232" ht="14.25" customHeight="1">
      <c r="A232" s="106"/>
      <c r="B232" s="75"/>
      <c r="C232" s="75"/>
      <c r="D232" s="75"/>
      <c r="E232" s="75"/>
      <c r="F232" s="75"/>
      <c r="G232" s="75"/>
      <c r="H232" s="75"/>
      <c r="I232" s="75"/>
    </row>
    <row r="233" ht="14.25" customHeight="1">
      <c r="A233" s="106"/>
      <c r="B233" s="75"/>
      <c r="C233" s="75"/>
      <c r="D233" s="75"/>
      <c r="E233" s="75"/>
      <c r="F233" s="75"/>
      <c r="G233" s="75"/>
      <c r="H233" s="75"/>
      <c r="I233" s="75"/>
    </row>
    <row r="234" ht="14.25" customHeight="1">
      <c r="A234" s="106"/>
      <c r="B234" s="75"/>
      <c r="C234" s="75"/>
      <c r="D234" s="75"/>
      <c r="E234" s="75"/>
      <c r="F234" s="75"/>
      <c r="G234" s="75"/>
      <c r="H234" s="75"/>
      <c r="I234" s="75"/>
    </row>
    <row r="235" ht="14.25" customHeight="1">
      <c r="A235" s="106"/>
      <c r="B235" s="75"/>
      <c r="C235" s="75"/>
      <c r="D235" s="75"/>
      <c r="E235" s="75"/>
      <c r="F235" s="75"/>
      <c r="G235" s="75"/>
      <c r="H235" s="75"/>
      <c r="I235" s="75"/>
    </row>
    <row r="236" ht="14.25" customHeight="1">
      <c r="A236" s="106"/>
      <c r="B236" s="75"/>
      <c r="C236" s="75"/>
      <c r="D236" s="75"/>
      <c r="E236" s="75"/>
      <c r="F236" s="75"/>
      <c r="G236" s="75"/>
      <c r="H236" s="75"/>
      <c r="I236" s="75"/>
    </row>
    <row r="237" ht="14.25" customHeight="1">
      <c r="A237" s="106"/>
      <c r="B237" s="75"/>
      <c r="C237" s="75"/>
      <c r="D237" s="75"/>
      <c r="E237" s="75"/>
      <c r="F237" s="75"/>
      <c r="G237" s="75"/>
      <c r="H237" s="75"/>
      <c r="I237" s="75"/>
    </row>
    <row r="238" ht="14.25" customHeight="1">
      <c r="A238" s="106"/>
      <c r="B238" s="75"/>
      <c r="C238" s="75"/>
      <c r="D238" s="75"/>
      <c r="E238" s="75"/>
      <c r="F238" s="75"/>
      <c r="G238" s="75"/>
      <c r="H238" s="75"/>
      <c r="I238" s="75"/>
    </row>
    <row r="239" ht="14.25" customHeight="1">
      <c r="A239" s="106"/>
      <c r="B239" s="75"/>
      <c r="C239" s="75"/>
      <c r="D239" s="75"/>
      <c r="E239" s="75"/>
      <c r="F239" s="75"/>
      <c r="G239" s="75"/>
      <c r="H239" s="75"/>
      <c r="I239" s="75"/>
    </row>
    <row r="240" ht="14.25" customHeight="1">
      <c r="A240" s="106"/>
      <c r="B240" s="75"/>
      <c r="C240" s="75"/>
      <c r="D240" s="75"/>
      <c r="E240" s="75"/>
      <c r="F240" s="75"/>
      <c r="G240" s="75"/>
      <c r="H240" s="75"/>
      <c r="I240" s="75"/>
    </row>
    <row r="241" ht="14.25" customHeight="1">
      <c r="A241" s="106"/>
      <c r="B241" s="75"/>
      <c r="C241" s="75"/>
      <c r="D241" s="75"/>
      <c r="E241" s="75"/>
      <c r="F241" s="75"/>
      <c r="G241" s="75"/>
      <c r="H241" s="75"/>
      <c r="I241" s="75"/>
    </row>
    <row r="242" ht="14.25" customHeight="1">
      <c r="A242" s="106"/>
      <c r="B242" s="75"/>
      <c r="C242" s="75"/>
      <c r="D242" s="75"/>
      <c r="E242" s="75"/>
      <c r="F242" s="75"/>
      <c r="G242" s="75"/>
      <c r="H242" s="75"/>
      <c r="I242" s="75"/>
    </row>
    <row r="243" ht="14.25" customHeight="1">
      <c r="A243" s="106"/>
      <c r="B243" s="75"/>
      <c r="C243" s="75"/>
      <c r="D243" s="75"/>
      <c r="E243" s="75"/>
      <c r="F243" s="75"/>
      <c r="G243" s="75"/>
      <c r="H243" s="75"/>
      <c r="I243" s="75"/>
    </row>
    <row r="244" ht="14.25" customHeight="1">
      <c r="A244" s="106"/>
      <c r="B244" s="75"/>
      <c r="C244" s="75"/>
      <c r="D244" s="75"/>
      <c r="E244" s="75"/>
      <c r="F244" s="75"/>
      <c r="G244" s="75"/>
      <c r="H244" s="75"/>
      <c r="I244" s="75"/>
    </row>
    <row r="245" ht="14.25" customHeight="1">
      <c r="A245" s="106"/>
      <c r="B245" s="75"/>
      <c r="C245" s="75"/>
      <c r="D245" s="75"/>
      <c r="E245" s="75"/>
      <c r="F245" s="75"/>
      <c r="G245" s="75"/>
      <c r="H245" s="75"/>
      <c r="I245" s="75"/>
    </row>
    <row r="246" ht="14.25" customHeight="1">
      <c r="A246" s="106"/>
      <c r="B246" s="75"/>
      <c r="C246" s="75"/>
      <c r="D246" s="75"/>
      <c r="E246" s="75"/>
      <c r="F246" s="75"/>
      <c r="G246" s="75"/>
      <c r="H246" s="75"/>
      <c r="I246" s="75"/>
    </row>
    <row r="247" ht="14.25" customHeight="1">
      <c r="A247" s="106"/>
      <c r="B247" s="75"/>
      <c r="C247" s="75"/>
      <c r="D247" s="75"/>
      <c r="E247" s="75"/>
      <c r="F247" s="75"/>
      <c r="G247" s="75"/>
      <c r="H247" s="75"/>
      <c r="I247" s="75"/>
    </row>
    <row r="248" ht="14.25" customHeight="1">
      <c r="A248" s="106"/>
      <c r="B248" s="75"/>
      <c r="C248" s="75"/>
      <c r="D248" s="75"/>
      <c r="E248" s="75"/>
      <c r="F248" s="75"/>
      <c r="G248" s="75"/>
      <c r="H248" s="75"/>
      <c r="I248" s="75"/>
    </row>
    <row r="249" ht="14.25" customHeight="1">
      <c r="A249" s="106"/>
      <c r="B249" s="75"/>
      <c r="C249" s="75"/>
      <c r="D249" s="75"/>
      <c r="E249" s="75"/>
      <c r="F249" s="75"/>
      <c r="G249" s="75"/>
      <c r="H249" s="75"/>
      <c r="I249" s="75"/>
    </row>
    <row r="250" ht="14.25" customHeight="1">
      <c r="A250" s="106"/>
      <c r="B250" s="75"/>
      <c r="C250" s="75"/>
      <c r="D250" s="75"/>
      <c r="E250" s="75"/>
      <c r="F250" s="75"/>
      <c r="G250" s="75"/>
      <c r="H250" s="75"/>
      <c r="I250" s="75"/>
    </row>
    <row r="251" ht="14.25" customHeight="1">
      <c r="A251" s="106"/>
      <c r="B251" s="75"/>
      <c r="C251" s="75"/>
      <c r="D251" s="75"/>
      <c r="E251" s="75"/>
      <c r="F251" s="75"/>
      <c r="G251" s="75"/>
      <c r="H251" s="75"/>
      <c r="I251" s="75"/>
    </row>
    <row r="252" ht="14.25" customHeight="1">
      <c r="A252" s="106"/>
      <c r="B252" s="75"/>
      <c r="C252" s="75"/>
      <c r="D252" s="75"/>
      <c r="E252" s="75"/>
      <c r="F252" s="75"/>
      <c r="G252" s="75"/>
      <c r="H252" s="75"/>
      <c r="I252" s="75"/>
    </row>
    <row r="253" ht="14.25" customHeight="1">
      <c r="A253" s="106"/>
      <c r="B253" s="75"/>
      <c r="C253" s="75"/>
      <c r="D253" s="75"/>
      <c r="E253" s="75"/>
      <c r="F253" s="75"/>
      <c r="G253" s="75"/>
      <c r="H253" s="75"/>
      <c r="I253" s="75"/>
    </row>
    <row r="254" ht="14.25" customHeight="1">
      <c r="A254" s="106"/>
      <c r="B254" s="75"/>
      <c r="C254" s="75"/>
      <c r="D254" s="75"/>
      <c r="E254" s="75"/>
      <c r="F254" s="75"/>
      <c r="G254" s="75"/>
      <c r="H254" s="75"/>
      <c r="I254" s="75"/>
    </row>
    <row r="255" ht="14.25" customHeight="1">
      <c r="A255" s="106"/>
      <c r="B255" s="75"/>
      <c r="C255" s="75"/>
      <c r="D255" s="75"/>
      <c r="E255" s="75"/>
      <c r="F255" s="75"/>
      <c r="G255" s="75"/>
      <c r="H255" s="75"/>
      <c r="I255" s="75"/>
    </row>
    <row r="256" ht="14.25" customHeight="1">
      <c r="A256" s="106"/>
      <c r="B256" s="75"/>
      <c r="C256" s="75"/>
      <c r="D256" s="75"/>
      <c r="E256" s="75"/>
      <c r="F256" s="75"/>
      <c r="G256" s="75"/>
      <c r="H256" s="75"/>
      <c r="I256" s="75"/>
    </row>
    <row r="257" ht="14.25" customHeight="1">
      <c r="A257" s="106"/>
      <c r="B257" s="75"/>
      <c r="C257" s="75"/>
      <c r="D257" s="75"/>
      <c r="E257" s="75"/>
      <c r="F257" s="75"/>
      <c r="G257" s="75"/>
      <c r="H257" s="75"/>
      <c r="I257" s="75"/>
    </row>
    <row r="258" ht="14.25" customHeight="1">
      <c r="A258" s="106"/>
      <c r="B258" s="75"/>
      <c r="C258" s="75"/>
      <c r="D258" s="75"/>
      <c r="E258" s="75"/>
      <c r="F258" s="75"/>
      <c r="G258" s="75"/>
      <c r="H258" s="75"/>
      <c r="I258" s="75"/>
    </row>
    <row r="259" ht="14.25" customHeight="1">
      <c r="A259" s="106"/>
      <c r="B259" s="75"/>
      <c r="C259" s="75"/>
      <c r="D259" s="75"/>
      <c r="E259" s="75"/>
      <c r="F259" s="75"/>
      <c r="G259" s="75"/>
      <c r="H259" s="75"/>
      <c r="I259" s="75"/>
    </row>
    <row r="260" ht="14.25" customHeight="1">
      <c r="A260" s="106"/>
      <c r="B260" s="75"/>
      <c r="C260" s="75"/>
      <c r="D260" s="75"/>
      <c r="E260" s="75"/>
      <c r="F260" s="75"/>
      <c r="G260" s="75"/>
      <c r="H260" s="75"/>
      <c r="I260" s="75"/>
    </row>
    <row r="261" ht="14.25" customHeight="1">
      <c r="A261" s="106"/>
      <c r="B261" s="75"/>
      <c r="C261" s="75"/>
      <c r="D261" s="75"/>
      <c r="E261" s="75"/>
      <c r="F261" s="75"/>
      <c r="G261" s="75"/>
      <c r="H261" s="75"/>
      <c r="I261" s="75"/>
    </row>
    <row r="262" ht="14.25" customHeight="1">
      <c r="A262" s="106"/>
      <c r="B262" s="75"/>
      <c r="C262" s="75"/>
      <c r="D262" s="75"/>
      <c r="E262" s="75"/>
      <c r="F262" s="75"/>
      <c r="G262" s="75"/>
      <c r="H262" s="75"/>
      <c r="I262" s="75"/>
    </row>
    <row r="263" ht="14.25" customHeight="1">
      <c r="A263" s="106"/>
      <c r="B263" s="75"/>
      <c r="C263" s="75"/>
      <c r="D263" s="75"/>
      <c r="E263" s="75"/>
      <c r="F263" s="75"/>
      <c r="G263" s="75"/>
      <c r="H263" s="75"/>
      <c r="I263" s="75"/>
    </row>
    <row r="264" ht="14.25" customHeight="1">
      <c r="A264" s="106"/>
      <c r="B264" s="75"/>
      <c r="C264" s="75"/>
      <c r="D264" s="75"/>
      <c r="E264" s="75"/>
      <c r="F264" s="75"/>
      <c r="G264" s="75"/>
      <c r="H264" s="75"/>
      <c r="I264" s="75"/>
    </row>
    <row r="265" ht="14.25" customHeight="1">
      <c r="A265" s="106"/>
      <c r="B265" s="75"/>
      <c r="C265" s="75"/>
      <c r="D265" s="75"/>
      <c r="E265" s="75"/>
      <c r="F265" s="75"/>
      <c r="G265" s="75"/>
      <c r="H265" s="75"/>
      <c r="I265" s="75"/>
    </row>
    <row r="266" ht="14.25" customHeight="1">
      <c r="A266" s="106"/>
      <c r="B266" s="75"/>
      <c r="C266" s="75"/>
      <c r="D266" s="75"/>
      <c r="E266" s="75"/>
      <c r="F266" s="75"/>
      <c r="G266" s="75"/>
      <c r="H266" s="75"/>
      <c r="I266" s="75"/>
    </row>
    <row r="267" ht="14.25" customHeight="1">
      <c r="A267" s="106"/>
      <c r="B267" s="75"/>
      <c r="C267" s="75"/>
      <c r="D267" s="75"/>
      <c r="E267" s="75"/>
      <c r="F267" s="75"/>
      <c r="G267" s="75"/>
      <c r="H267" s="75"/>
      <c r="I267" s="75"/>
    </row>
    <row r="268" ht="14.25" customHeight="1">
      <c r="A268" s="106"/>
      <c r="B268" s="75"/>
      <c r="C268" s="75"/>
      <c r="D268" s="75"/>
      <c r="E268" s="75"/>
      <c r="F268" s="75"/>
      <c r="G268" s="75"/>
      <c r="H268" s="75"/>
      <c r="I268" s="75"/>
    </row>
    <row r="269" ht="14.25" customHeight="1">
      <c r="A269" s="106"/>
      <c r="B269" s="75"/>
      <c r="C269" s="75"/>
      <c r="D269" s="75"/>
      <c r="E269" s="75"/>
      <c r="F269" s="75"/>
      <c r="G269" s="75"/>
      <c r="H269" s="75"/>
      <c r="I269" s="75"/>
    </row>
    <row r="270" ht="14.25" customHeight="1">
      <c r="A270" s="106"/>
      <c r="B270" s="75"/>
      <c r="C270" s="75"/>
      <c r="D270" s="75"/>
      <c r="E270" s="75"/>
      <c r="F270" s="75"/>
      <c r="G270" s="75"/>
      <c r="H270" s="75"/>
      <c r="I270" s="75"/>
    </row>
    <row r="271" ht="14.25" customHeight="1">
      <c r="A271" s="106"/>
      <c r="B271" s="75"/>
      <c r="C271" s="75"/>
      <c r="D271" s="75"/>
      <c r="E271" s="75"/>
      <c r="F271" s="75"/>
      <c r="G271" s="75"/>
      <c r="H271" s="75"/>
      <c r="I271" s="75"/>
    </row>
    <row r="272" ht="14.25" customHeight="1">
      <c r="A272" s="106"/>
      <c r="B272" s="75"/>
      <c r="C272" s="75"/>
      <c r="D272" s="75"/>
      <c r="E272" s="75"/>
      <c r="F272" s="75"/>
      <c r="G272" s="75"/>
      <c r="H272" s="75"/>
      <c r="I272" s="75"/>
    </row>
    <row r="273" ht="14.25" customHeight="1">
      <c r="A273" s="106"/>
      <c r="B273" s="75"/>
      <c r="C273" s="75"/>
      <c r="D273" s="75"/>
      <c r="E273" s="75"/>
      <c r="F273" s="75"/>
      <c r="G273" s="75"/>
      <c r="H273" s="75"/>
      <c r="I273" s="75"/>
    </row>
    <row r="274" ht="14.25" customHeight="1">
      <c r="A274" s="106"/>
      <c r="B274" s="75"/>
      <c r="C274" s="75"/>
      <c r="D274" s="75"/>
      <c r="E274" s="75"/>
      <c r="F274" s="75"/>
      <c r="G274" s="75"/>
      <c r="H274" s="75"/>
      <c r="I274" s="75"/>
    </row>
    <row r="275" ht="14.25" customHeight="1">
      <c r="A275" s="106"/>
      <c r="B275" s="75"/>
      <c r="C275" s="75"/>
      <c r="D275" s="75"/>
      <c r="E275" s="75"/>
      <c r="F275" s="75"/>
      <c r="G275" s="75"/>
      <c r="H275" s="75"/>
      <c r="I275" s="75"/>
    </row>
    <row r="276" ht="14.25" customHeight="1">
      <c r="A276" s="106"/>
      <c r="B276" s="75"/>
      <c r="C276" s="75"/>
      <c r="D276" s="75"/>
      <c r="E276" s="75"/>
      <c r="F276" s="75"/>
      <c r="G276" s="75"/>
      <c r="H276" s="75"/>
      <c r="I276" s="75"/>
    </row>
    <row r="277" ht="14.25" customHeight="1">
      <c r="A277" s="106"/>
      <c r="B277" s="75"/>
      <c r="C277" s="75"/>
      <c r="D277" s="75"/>
      <c r="E277" s="75"/>
      <c r="F277" s="75"/>
      <c r="G277" s="75"/>
      <c r="H277" s="75"/>
      <c r="I277" s="75"/>
    </row>
    <row r="278" ht="14.25" customHeight="1">
      <c r="A278" s="106"/>
      <c r="B278" s="75"/>
      <c r="C278" s="75"/>
      <c r="D278" s="75"/>
      <c r="E278" s="75"/>
      <c r="F278" s="75"/>
      <c r="G278" s="75"/>
      <c r="H278" s="75"/>
      <c r="I278" s="75"/>
    </row>
    <row r="279" ht="14.25" customHeight="1">
      <c r="A279" s="106"/>
      <c r="B279" s="75"/>
      <c r="C279" s="75"/>
      <c r="D279" s="75"/>
      <c r="E279" s="75"/>
      <c r="F279" s="75"/>
      <c r="G279" s="75"/>
      <c r="H279" s="75"/>
      <c r="I279" s="75"/>
    </row>
    <row r="280" ht="14.25" customHeight="1">
      <c r="A280" s="106"/>
      <c r="B280" s="75"/>
      <c r="C280" s="75"/>
      <c r="D280" s="75"/>
      <c r="E280" s="75"/>
      <c r="F280" s="75"/>
      <c r="G280" s="75"/>
      <c r="H280" s="75"/>
      <c r="I280" s="75"/>
    </row>
    <row r="281" ht="14.25" customHeight="1">
      <c r="A281" s="106"/>
      <c r="B281" s="75"/>
      <c r="C281" s="75"/>
      <c r="D281" s="75"/>
      <c r="E281" s="75"/>
      <c r="F281" s="75"/>
      <c r="G281" s="75"/>
      <c r="H281" s="75"/>
      <c r="I281" s="75"/>
    </row>
    <row r="282" ht="14.25" customHeight="1">
      <c r="A282" s="106"/>
      <c r="B282" s="75"/>
      <c r="C282" s="75"/>
      <c r="D282" s="75"/>
      <c r="E282" s="75"/>
      <c r="F282" s="75"/>
      <c r="G282" s="75"/>
      <c r="H282" s="75"/>
      <c r="I282" s="75"/>
    </row>
    <row r="283" ht="14.25" customHeight="1">
      <c r="A283" s="106"/>
      <c r="B283" s="75"/>
      <c r="C283" s="75"/>
      <c r="D283" s="75"/>
      <c r="E283" s="75"/>
      <c r="F283" s="75"/>
      <c r="G283" s="75"/>
      <c r="H283" s="75"/>
      <c r="I283" s="75"/>
    </row>
    <row r="284" ht="14.25" customHeight="1">
      <c r="A284" s="106"/>
      <c r="B284" s="75"/>
      <c r="C284" s="75"/>
      <c r="D284" s="75"/>
      <c r="E284" s="75"/>
      <c r="F284" s="75"/>
      <c r="G284" s="75"/>
      <c r="H284" s="75"/>
      <c r="I284" s="75"/>
    </row>
    <row r="285" ht="14.25" customHeight="1">
      <c r="A285" s="106"/>
      <c r="B285" s="75"/>
      <c r="C285" s="75"/>
      <c r="D285" s="75"/>
      <c r="E285" s="75"/>
      <c r="F285" s="75"/>
      <c r="G285" s="75"/>
      <c r="H285" s="75"/>
      <c r="I285" s="75"/>
    </row>
    <row r="286" ht="14.25" customHeight="1">
      <c r="A286" s="106"/>
      <c r="B286" s="75"/>
      <c r="C286" s="75"/>
      <c r="D286" s="75"/>
      <c r="E286" s="75"/>
      <c r="F286" s="75"/>
      <c r="G286" s="75"/>
      <c r="H286" s="75"/>
      <c r="I286" s="75"/>
    </row>
    <row r="287" ht="14.25" customHeight="1">
      <c r="A287" s="106"/>
      <c r="B287" s="75"/>
      <c r="C287" s="75"/>
      <c r="D287" s="75"/>
      <c r="E287" s="75"/>
      <c r="F287" s="75"/>
      <c r="G287" s="75"/>
      <c r="H287" s="75"/>
      <c r="I287" s="75"/>
    </row>
    <row r="288" ht="14.25" customHeight="1">
      <c r="A288" s="106"/>
      <c r="B288" s="75"/>
      <c r="C288" s="75"/>
      <c r="D288" s="75"/>
      <c r="E288" s="75"/>
      <c r="F288" s="75"/>
      <c r="G288" s="75"/>
      <c r="H288" s="75"/>
      <c r="I288" s="75"/>
    </row>
    <row r="289" ht="14.25" customHeight="1">
      <c r="A289" s="106"/>
      <c r="B289" s="75"/>
      <c r="C289" s="75"/>
      <c r="D289" s="75"/>
      <c r="E289" s="75"/>
      <c r="F289" s="75"/>
      <c r="G289" s="75"/>
      <c r="H289" s="75"/>
      <c r="I289" s="75"/>
    </row>
    <row r="290" ht="14.25" customHeight="1">
      <c r="A290" s="106"/>
      <c r="B290" s="75"/>
      <c r="C290" s="75"/>
      <c r="D290" s="75"/>
      <c r="E290" s="75"/>
      <c r="F290" s="75"/>
      <c r="G290" s="75"/>
      <c r="H290" s="75"/>
      <c r="I290" s="75"/>
    </row>
    <row r="291" ht="14.25" customHeight="1">
      <c r="A291" s="106"/>
      <c r="B291" s="75"/>
      <c r="C291" s="75"/>
      <c r="D291" s="75"/>
      <c r="E291" s="75"/>
      <c r="F291" s="75"/>
      <c r="G291" s="75"/>
      <c r="H291" s="75"/>
      <c r="I291" s="75"/>
    </row>
    <row r="292" ht="14.25" customHeight="1">
      <c r="A292" s="106"/>
      <c r="B292" s="75"/>
      <c r="C292" s="75"/>
      <c r="D292" s="75"/>
      <c r="E292" s="75"/>
      <c r="F292" s="75"/>
      <c r="G292" s="75"/>
      <c r="H292" s="75"/>
      <c r="I292" s="75"/>
    </row>
    <row r="293" ht="14.25" customHeight="1">
      <c r="A293" s="106"/>
      <c r="B293" s="75"/>
      <c r="C293" s="75"/>
      <c r="D293" s="75"/>
      <c r="E293" s="75"/>
      <c r="F293" s="75"/>
      <c r="G293" s="75"/>
      <c r="H293" s="75"/>
      <c r="I293" s="75"/>
    </row>
    <row r="294" ht="14.25" customHeight="1">
      <c r="A294" s="106"/>
      <c r="B294" s="75"/>
      <c r="C294" s="75"/>
      <c r="D294" s="75"/>
      <c r="E294" s="75"/>
      <c r="F294" s="75"/>
      <c r="G294" s="75"/>
      <c r="H294" s="75"/>
      <c r="I294" s="75"/>
    </row>
    <row r="295" ht="14.25" customHeight="1">
      <c r="A295" s="106"/>
      <c r="B295" s="75"/>
      <c r="C295" s="75"/>
      <c r="D295" s="75"/>
      <c r="E295" s="75"/>
      <c r="F295" s="75"/>
      <c r="G295" s="75"/>
      <c r="H295" s="75"/>
      <c r="I295" s="75"/>
    </row>
    <row r="296" ht="14.25" customHeight="1">
      <c r="A296" s="106"/>
      <c r="B296" s="75"/>
      <c r="C296" s="75"/>
      <c r="D296" s="75"/>
      <c r="E296" s="75"/>
      <c r="F296" s="75"/>
      <c r="G296" s="75"/>
      <c r="H296" s="75"/>
      <c r="I296" s="75"/>
    </row>
    <row r="297" ht="14.25" customHeight="1">
      <c r="A297" s="106"/>
      <c r="B297" s="75"/>
      <c r="C297" s="75"/>
      <c r="D297" s="75"/>
      <c r="E297" s="75"/>
      <c r="F297" s="75"/>
      <c r="G297" s="75"/>
      <c r="H297" s="75"/>
      <c r="I297" s="75"/>
    </row>
    <row r="298" ht="14.25" customHeight="1">
      <c r="A298" s="106"/>
      <c r="B298" s="75"/>
      <c r="C298" s="75"/>
      <c r="D298" s="75"/>
      <c r="E298" s="75"/>
      <c r="F298" s="75"/>
      <c r="G298" s="75"/>
      <c r="H298" s="75"/>
      <c r="I298" s="75"/>
    </row>
    <row r="299" ht="14.25" customHeight="1">
      <c r="A299" s="106"/>
      <c r="B299" s="75"/>
      <c r="C299" s="75"/>
      <c r="D299" s="75"/>
      <c r="E299" s="75"/>
      <c r="F299" s="75"/>
      <c r="G299" s="75"/>
      <c r="H299" s="75"/>
      <c r="I299" s="75"/>
    </row>
    <row r="300" ht="14.25" customHeight="1">
      <c r="A300" s="106"/>
      <c r="B300" s="75"/>
      <c r="C300" s="75"/>
      <c r="D300" s="75"/>
      <c r="E300" s="75"/>
      <c r="F300" s="75"/>
      <c r="G300" s="75"/>
      <c r="H300" s="75"/>
      <c r="I300" s="75"/>
    </row>
    <row r="301" ht="14.25" customHeight="1">
      <c r="A301" s="106"/>
      <c r="B301" s="75"/>
      <c r="C301" s="75"/>
      <c r="D301" s="75"/>
      <c r="E301" s="75"/>
      <c r="F301" s="75"/>
      <c r="G301" s="75"/>
      <c r="H301" s="75"/>
      <c r="I301" s="75"/>
    </row>
    <row r="302" ht="14.25" customHeight="1">
      <c r="A302" s="106"/>
      <c r="B302" s="75"/>
      <c r="C302" s="75"/>
      <c r="D302" s="75"/>
      <c r="E302" s="75"/>
      <c r="F302" s="75"/>
      <c r="G302" s="75"/>
      <c r="H302" s="75"/>
      <c r="I302" s="75"/>
    </row>
    <row r="303" ht="14.25" customHeight="1">
      <c r="A303" s="106"/>
      <c r="B303" s="75"/>
      <c r="C303" s="75"/>
      <c r="D303" s="75"/>
      <c r="E303" s="75"/>
      <c r="F303" s="75"/>
      <c r="G303" s="75"/>
      <c r="H303" s="75"/>
      <c r="I303" s="75"/>
    </row>
    <row r="304" ht="14.25" customHeight="1">
      <c r="A304" s="106"/>
      <c r="B304" s="75"/>
      <c r="C304" s="75"/>
      <c r="D304" s="75"/>
      <c r="E304" s="75"/>
      <c r="F304" s="75"/>
      <c r="G304" s="75"/>
      <c r="H304" s="75"/>
      <c r="I304" s="75"/>
    </row>
    <row r="305" ht="14.25" customHeight="1">
      <c r="A305" s="106"/>
      <c r="B305" s="75"/>
      <c r="C305" s="75"/>
      <c r="D305" s="75"/>
      <c r="E305" s="75"/>
      <c r="F305" s="75"/>
      <c r="G305" s="75"/>
      <c r="H305" s="75"/>
      <c r="I305" s="75"/>
    </row>
    <row r="306" ht="14.25" customHeight="1">
      <c r="A306" s="106"/>
      <c r="B306" s="75"/>
      <c r="C306" s="75"/>
      <c r="D306" s="75"/>
      <c r="E306" s="75"/>
      <c r="F306" s="75"/>
      <c r="G306" s="75"/>
      <c r="H306" s="75"/>
      <c r="I306" s="75"/>
    </row>
    <row r="307" ht="14.25" customHeight="1">
      <c r="A307" s="106"/>
      <c r="B307" s="75"/>
      <c r="C307" s="75"/>
      <c r="D307" s="75"/>
      <c r="E307" s="75"/>
      <c r="F307" s="75"/>
      <c r="G307" s="75"/>
      <c r="H307" s="75"/>
      <c r="I307" s="75"/>
    </row>
    <row r="308" ht="14.25" customHeight="1">
      <c r="A308" s="106"/>
      <c r="B308" s="75"/>
      <c r="C308" s="75"/>
      <c r="D308" s="75"/>
      <c r="E308" s="75"/>
      <c r="F308" s="75"/>
      <c r="G308" s="75"/>
      <c r="H308" s="75"/>
      <c r="I308" s="75"/>
    </row>
    <row r="309" ht="14.25" customHeight="1">
      <c r="A309" s="106"/>
      <c r="B309" s="75"/>
      <c r="C309" s="75"/>
      <c r="D309" s="75"/>
      <c r="E309" s="75"/>
      <c r="F309" s="75"/>
      <c r="G309" s="75"/>
      <c r="H309" s="75"/>
      <c r="I309" s="75"/>
    </row>
    <row r="310" ht="14.25" customHeight="1">
      <c r="A310" s="106"/>
      <c r="B310" s="75"/>
      <c r="C310" s="75"/>
      <c r="D310" s="75"/>
      <c r="E310" s="75"/>
      <c r="F310" s="75"/>
      <c r="G310" s="75"/>
      <c r="H310" s="75"/>
      <c r="I310" s="75"/>
    </row>
    <row r="311" ht="14.25" customHeight="1">
      <c r="A311" s="106"/>
      <c r="B311" s="75"/>
      <c r="C311" s="75"/>
      <c r="D311" s="75"/>
      <c r="E311" s="75"/>
      <c r="F311" s="75"/>
      <c r="G311" s="75"/>
      <c r="H311" s="75"/>
      <c r="I311" s="75"/>
    </row>
    <row r="312" ht="14.25" customHeight="1">
      <c r="A312" s="106"/>
      <c r="B312" s="75"/>
      <c r="C312" s="75"/>
      <c r="D312" s="75"/>
      <c r="E312" s="75"/>
      <c r="F312" s="75"/>
      <c r="G312" s="75"/>
      <c r="H312" s="75"/>
      <c r="I312" s="75"/>
    </row>
    <row r="313" ht="14.25" customHeight="1">
      <c r="A313" s="106"/>
      <c r="B313" s="75"/>
      <c r="C313" s="75"/>
      <c r="D313" s="75"/>
      <c r="E313" s="75"/>
      <c r="F313" s="75"/>
      <c r="G313" s="75"/>
      <c r="H313" s="75"/>
      <c r="I313" s="75"/>
    </row>
    <row r="314" ht="14.25" customHeight="1">
      <c r="A314" s="106"/>
      <c r="B314" s="75"/>
      <c r="C314" s="75"/>
      <c r="D314" s="75"/>
      <c r="E314" s="75"/>
      <c r="F314" s="75"/>
      <c r="G314" s="75"/>
      <c r="H314" s="75"/>
      <c r="I314" s="75"/>
    </row>
    <row r="315" ht="14.25" customHeight="1">
      <c r="A315" s="106"/>
      <c r="B315" s="75"/>
      <c r="C315" s="75"/>
      <c r="D315" s="75"/>
      <c r="E315" s="75"/>
      <c r="F315" s="75"/>
      <c r="G315" s="75"/>
      <c r="H315" s="75"/>
      <c r="I315" s="75"/>
    </row>
    <row r="316" ht="14.25" customHeight="1">
      <c r="A316" s="106"/>
      <c r="B316" s="75"/>
      <c r="C316" s="75"/>
      <c r="D316" s="75"/>
      <c r="E316" s="75"/>
      <c r="F316" s="75"/>
      <c r="G316" s="75"/>
      <c r="H316" s="75"/>
      <c r="I316" s="75"/>
    </row>
    <row r="317" ht="14.25" customHeight="1">
      <c r="A317" s="106"/>
      <c r="B317" s="75"/>
      <c r="C317" s="75"/>
      <c r="D317" s="75"/>
      <c r="E317" s="75"/>
      <c r="F317" s="75"/>
      <c r="G317" s="75"/>
      <c r="H317" s="75"/>
      <c r="I317" s="75"/>
    </row>
    <row r="318" ht="14.25" customHeight="1">
      <c r="A318" s="106"/>
      <c r="B318" s="75"/>
      <c r="C318" s="75"/>
      <c r="D318" s="75"/>
      <c r="E318" s="75"/>
      <c r="F318" s="75"/>
      <c r="G318" s="75"/>
      <c r="H318" s="75"/>
      <c r="I318" s="75"/>
    </row>
    <row r="319" ht="14.25" customHeight="1">
      <c r="A319" s="106"/>
      <c r="B319" s="75"/>
      <c r="C319" s="75"/>
      <c r="D319" s="75"/>
      <c r="E319" s="75"/>
      <c r="F319" s="75"/>
      <c r="G319" s="75"/>
      <c r="H319" s="75"/>
      <c r="I319" s="75"/>
    </row>
    <row r="320" ht="14.25" customHeight="1">
      <c r="A320" s="106"/>
      <c r="B320" s="75"/>
      <c r="C320" s="75"/>
      <c r="D320" s="75"/>
      <c r="E320" s="75"/>
      <c r="F320" s="75"/>
      <c r="G320" s="75"/>
      <c r="H320" s="75"/>
      <c r="I320" s="75"/>
    </row>
    <row r="321" ht="14.25" customHeight="1">
      <c r="A321" s="106"/>
      <c r="B321" s="75"/>
      <c r="C321" s="75"/>
      <c r="D321" s="75"/>
      <c r="E321" s="75"/>
      <c r="F321" s="75"/>
      <c r="G321" s="75"/>
      <c r="H321" s="75"/>
      <c r="I321" s="75"/>
    </row>
    <row r="322" ht="14.25" customHeight="1">
      <c r="A322" s="106"/>
      <c r="B322" s="75"/>
      <c r="C322" s="75"/>
      <c r="D322" s="75"/>
      <c r="E322" s="75"/>
      <c r="F322" s="75"/>
      <c r="G322" s="75"/>
      <c r="H322" s="75"/>
      <c r="I322" s="75"/>
    </row>
    <row r="323" ht="14.25" customHeight="1">
      <c r="A323" s="106"/>
      <c r="B323" s="75"/>
      <c r="C323" s="75"/>
      <c r="D323" s="75"/>
      <c r="E323" s="75"/>
      <c r="F323" s="75"/>
      <c r="G323" s="75"/>
      <c r="H323" s="75"/>
      <c r="I323" s="75"/>
    </row>
    <row r="324" ht="14.25" customHeight="1">
      <c r="A324" s="106"/>
      <c r="B324" s="75"/>
      <c r="C324" s="75"/>
      <c r="D324" s="75"/>
      <c r="E324" s="75"/>
      <c r="F324" s="75"/>
      <c r="G324" s="75"/>
      <c r="H324" s="75"/>
      <c r="I324" s="75"/>
    </row>
    <row r="325" ht="14.25" customHeight="1">
      <c r="A325" s="106"/>
      <c r="B325" s="75"/>
      <c r="C325" s="75"/>
      <c r="D325" s="75"/>
      <c r="E325" s="75"/>
      <c r="F325" s="75"/>
      <c r="G325" s="75"/>
      <c r="H325" s="75"/>
      <c r="I325" s="75"/>
    </row>
    <row r="326" ht="14.25" customHeight="1">
      <c r="A326" s="106"/>
      <c r="B326" s="75"/>
      <c r="C326" s="75"/>
      <c r="D326" s="75"/>
      <c r="E326" s="75"/>
      <c r="F326" s="75"/>
      <c r="G326" s="75"/>
      <c r="H326" s="75"/>
      <c r="I326" s="75"/>
    </row>
    <row r="327" ht="14.25" customHeight="1">
      <c r="A327" s="106"/>
      <c r="B327" s="75"/>
      <c r="C327" s="75"/>
      <c r="D327" s="75"/>
      <c r="E327" s="75"/>
      <c r="F327" s="75"/>
      <c r="G327" s="75"/>
      <c r="H327" s="75"/>
      <c r="I327" s="75"/>
    </row>
    <row r="328" ht="14.25" customHeight="1">
      <c r="A328" s="106"/>
      <c r="B328" s="75"/>
      <c r="C328" s="75"/>
      <c r="D328" s="75"/>
      <c r="E328" s="75"/>
      <c r="F328" s="75"/>
      <c r="G328" s="75"/>
      <c r="H328" s="75"/>
      <c r="I328" s="75"/>
    </row>
    <row r="329" ht="14.25" customHeight="1">
      <c r="A329" s="106"/>
      <c r="B329" s="75"/>
      <c r="C329" s="75"/>
      <c r="D329" s="75"/>
      <c r="E329" s="75"/>
      <c r="F329" s="75"/>
      <c r="G329" s="75"/>
      <c r="H329" s="75"/>
      <c r="I329" s="75"/>
    </row>
    <row r="330" ht="14.25" customHeight="1">
      <c r="A330" s="106"/>
      <c r="B330" s="75"/>
      <c r="C330" s="75"/>
      <c r="D330" s="75"/>
      <c r="E330" s="75"/>
      <c r="F330" s="75"/>
      <c r="G330" s="75"/>
      <c r="H330" s="75"/>
      <c r="I330" s="75"/>
    </row>
    <row r="331" ht="14.25" customHeight="1">
      <c r="A331" s="106"/>
      <c r="B331" s="75"/>
      <c r="C331" s="75"/>
      <c r="D331" s="75"/>
      <c r="E331" s="75"/>
      <c r="F331" s="75"/>
      <c r="G331" s="75"/>
      <c r="H331" s="75"/>
      <c r="I331" s="75"/>
    </row>
    <row r="332" ht="14.25" customHeight="1">
      <c r="A332" s="106"/>
      <c r="B332" s="75"/>
      <c r="C332" s="75"/>
      <c r="D332" s="75"/>
      <c r="E332" s="75"/>
      <c r="F332" s="75"/>
      <c r="G332" s="75"/>
      <c r="H332" s="75"/>
      <c r="I332" s="75"/>
    </row>
    <row r="333" ht="14.25" customHeight="1">
      <c r="A333" s="106"/>
      <c r="B333" s="75"/>
      <c r="C333" s="75"/>
      <c r="D333" s="75"/>
      <c r="E333" s="75"/>
      <c r="F333" s="75"/>
      <c r="G333" s="75"/>
      <c r="H333" s="75"/>
      <c r="I333" s="75"/>
    </row>
    <row r="334" ht="14.25" customHeight="1">
      <c r="A334" s="106"/>
      <c r="B334" s="75"/>
      <c r="C334" s="75"/>
      <c r="D334" s="75"/>
      <c r="E334" s="75"/>
      <c r="F334" s="75"/>
      <c r="G334" s="75"/>
      <c r="H334" s="75"/>
      <c r="I334" s="75"/>
    </row>
    <row r="335" ht="14.25" customHeight="1">
      <c r="A335" s="106"/>
      <c r="B335" s="75"/>
      <c r="C335" s="75"/>
      <c r="D335" s="75"/>
      <c r="E335" s="75"/>
      <c r="F335" s="75"/>
      <c r="G335" s="75"/>
      <c r="H335" s="75"/>
      <c r="I335" s="75"/>
    </row>
    <row r="336" ht="14.25" customHeight="1">
      <c r="A336" s="106"/>
      <c r="B336" s="75"/>
      <c r="C336" s="75"/>
      <c r="D336" s="75"/>
      <c r="E336" s="75"/>
      <c r="F336" s="75"/>
      <c r="G336" s="75"/>
      <c r="H336" s="75"/>
      <c r="I336" s="75"/>
    </row>
    <row r="337" ht="14.25" customHeight="1">
      <c r="A337" s="106"/>
      <c r="B337" s="75"/>
      <c r="C337" s="75"/>
      <c r="D337" s="75"/>
      <c r="E337" s="75"/>
      <c r="F337" s="75"/>
      <c r="G337" s="75"/>
      <c r="H337" s="75"/>
      <c r="I337" s="75"/>
    </row>
    <row r="338" ht="14.25" customHeight="1">
      <c r="A338" s="106"/>
      <c r="B338" s="75"/>
      <c r="C338" s="75"/>
      <c r="D338" s="75"/>
      <c r="E338" s="75"/>
      <c r="F338" s="75"/>
      <c r="G338" s="75"/>
      <c r="H338" s="75"/>
      <c r="I338" s="75"/>
    </row>
    <row r="339" ht="14.25" customHeight="1">
      <c r="A339" s="106"/>
      <c r="B339" s="75"/>
      <c r="C339" s="75"/>
      <c r="D339" s="75"/>
      <c r="E339" s="75"/>
      <c r="F339" s="75"/>
      <c r="G339" s="75"/>
      <c r="H339" s="75"/>
      <c r="I339" s="75"/>
    </row>
    <row r="340" ht="14.25" customHeight="1">
      <c r="A340" s="106"/>
      <c r="B340" s="75"/>
      <c r="C340" s="75"/>
      <c r="D340" s="75"/>
      <c r="E340" s="75"/>
      <c r="F340" s="75"/>
      <c r="G340" s="75"/>
      <c r="H340" s="75"/>
      <c r="I340" s="75"/>
    </row>
    <row r="341" ht="14.25" customHeight="1">
      <c r="A341" s="106"/>
      <c r="B341" s="75"/>
      <c r="C341" s="75"/>
      <c r="D341" s="75"/>
      <c r="E341" s="75"/>
      <c r="F341" s="75"/>
      <c r="G341" s="75"/>
      <c r="H341" s="75"/>
      <c r="I341" s="75"/>
    </row>
    <row r="342" ht="14.25" customHeight="1">
      <c r="A342" s="106"/>
      <c r="B342" s="75"/>
      <c r="C342" s="75"/>
      <c r="D342" s="75"/>
      <c r="E342" s="75"/>
      <c r="F342" s="75"/>
      <c r="G342" s="75"/>
      <c r="H342" s="75"/>
      <c r="I342" s="75"/>
    </row>
    <row r="343" ht="14.25" customHeight="1">
      <c r="A343" s="106"/>
      <c r="B343" s="75"/>
      <c r="C343" s="75"/>
      <c r="D343" s="75"/>
      <c r="E343" s="75"/>
      <c r="F343" s="75"/>
      <c r="G343" s="75"/>
      <c r="H343" s="75"/>
      <c r="I343" s="75"/>
    </row>
    <row r="344" ht="14.25" customHeight="1">
      <c r="A344" s="106"/>
      <c r="B344" s="75"/>
      <c r="C344" s="75"/>
      <c r="D344" s="75"/>
      <c r="E344" s="75"/>
      <c r="F344" s="75"/>
      <c r="G344" s="75"/>
      <c r="H344" s="75"/>
      <c r="I344" s="75"/>
    </row>
    <row r="345" ht="14.25" customHeight="1">
      <c r="A345" s="106"/>
      <c r="B345" s="75"/>
      <c r="C345" s="75"/>
      <c r="D345" s="75"/>
      <c r="E345" s="75"/>
      <c r="F345" s="75"/>
      <c r="G345" s="75"/>
      <c r="H345" s="75"/>
      <c r="I345" s="75"/>
    </row>
    <row r="346" ht="14.25" customHeight="1">
      <c r="A346" s="106"/>
      <c r="B346" s="75"/>
      <c r="C346" s="75"/>
      <c r="D346" s="75"/>
      <c r="E346" s="75"/>
      <c r="F346" s="75"/>
      <c r="G346" s="75"/>
      <c r="H346" s="75"/>
      <c r="I346" s="75"/>
    </row>
    <row r="347" ht="14.25" customHeight="1">
      <c r="A347" s="106"/>
      <c r="B347" s="75"/>
      <c r="C347" s="75"/>
      <c r="D347" s="75"/>
      <c r="E347" s="75"/>
      <c r="F347" s="75"/>
      <c r="G347" s="75"/>
      <c r="H347" s="75"/>
      <c r="I347" s="75"/>
    </row>
    <row r="348" ht="14.25" customHeight="1">
      <c r="A348" s="106"/>
      <c r="B348" s="75"/>
      <c r="C348" s="75"/>
      <c r="D348" s="75"/>
      <c r="E348" s="75"/>
      <c r="F348" s="75"/>
      <c r="G348" s="75"/>
      <c r="H348" s="75"/>
      <c r="I348" s="75"/>
    </row>
    <row r="349" ht="14.25" customHeight="1">
      <c r="A349" s="106"/>
      <c r="B349" s="75"/>
      <c r="C349" s="75"/>
      <c r="D349" s="75"/>
      <c r="E349" s="75"/>
      <c r="F349" s="75"/>
      <c r="G349" s="75"/>
      <c r="H349" s="75"/>
      <c r="I349" s="75"/>
    </row>
    <row r="350" ht="14.25" customHeight="1">
      <c r="A350" s="106"/>
      <c r="B350" s="75"/>
      <c r="C350" s="75"/>
      <c r="D350" s="75"/>
      <c r="E350" s="75"/>
      <c r="F350" s="75"/>
      <c r="G350" s="75"/>
      <c r="H350" s="75"/>
      <c r="I350" s="75"/>
    </row>
    <row r="351" ht="14.25" customHeight="1">
      <c r="A351" s="106"/>
      <c r="B351" s="75"/>
      <c r="C351" s="75"/>
      <c r="D351" s="75"/>
      <c r="E351" s="75"/>
      <c r="F351" s="75"/>
      <c r="G351" s="75"/>
      <c r="H351" s="75"/>
      <c r="I351" s="75"/>
    </row>
    <row r="352" ht="14.25" customHeight="1">
      <c r="A352" s="106"/>
      <c r="B352" s="75"/>
      <c r="C352" s="75"/>
      <c r="D352" s="75"/>
      <c r="E352" s="75"/>
      <c r="F352" s="75"/>
      <c r="G352" s="75"/>
      <c r="H352" s="75"/>
      <c r="I352" s="75"/>
    </row>
    <row r="353" ht="14.25" customHeight="1">
      <c r="A353" s="106"/>
      <c r="B353" s="75"/>
      <c r="C353" s="75"/>
      <c r="D353" s="75"/>
      <c r="E353" s="75"/>
      <c r="F353" s="75"/>
      <c r="G353" s="75"/>
      <c r="H353" s="75"/>
      <c r="I353" s="75"/>
    </row>
    <row r="354" ht="14.25" customHeight="1">
      <c r="A354" s="106"/>
      <c r="B354" s="75"/>
      <c r="C354" s="75"/>
      <c r="D354" s="75"/>
      <c r="E354" s="75"/>
      <c r="F354" s="75"/>
      <c r="G354" s="75"/>
      <c r="H354" s="75"/>
      <c r="I354" s="75"/>
    </row>
    <row r="355" ht="14.25" customHeight="1">
      <c r="A355" s="106"/>
      <c r="B355" s="75"/>
      <c r="C355" s="75"/>
      <c r="D355" s="75"/>
      <c r="E355" s="75"/>
      <c r="F355" s="75"/>
      <c r="G355" s="75"/>
      <c r="H355" s="75"/>
      <c r="I355" s="75"/>
    </row>
    <row r="356" ht="14.25" customHeight="1">
      <c r="A356" s="106"/>
      <c r="B356" s="75"/>
      <c r="C356" s="75"/>
      <c r="D356" s="75"/>
      <c r="E356" s="75"/>
      <c r="F356" s="75"/>
      <c r="G356" s="75"/>
      <c r="H356" s="75"/>
      <c r="I356" s="75"/>
    </row>
    <row r="357" ht="14.25" customHeight="1">
      <c r="A357" s="106"/>
      <c r="B357" s="75"/>
      <c r="C357" s="75"/>
      <c r="D357" s="75"/>
      <c r="E357" s="75"/>
      <c r="F357" s="75"/>
      <c r="G357" s="75"/>
      <c r="H357" s="75"/>
      <c r="I357" s="75"/>
    </row>
    <row r="358" ht="14.25" customHeight="1">
      <c r="A358" s="106"/>
      <c r="B358" s="75"/>
      <c r="C358" s="75"/>
      <c r="D358" s="75"/>
      <c r="E358" s="75"/>
      <c r="F358" s="75"/>
      <c r="G358" s="75"/>
      <c r="H358" s="75"/>
      <c r="I358" s="75"/>
    </row>
    <row r="359" ht="14.25" customHeight="1">
      <c r="A359" s="106"/>
      <c r="B359" s="75"/>
      <c r="C359" s="75"/>
      <c r="D359" s="75"/>
      <c r="E359" s="75"/>
      <c r="F359" s="75"/>
      <c r="G359" s="75"/>
      <c r="H359" s="75"/>
      <c r="I359" s="75"/>
    </row>
    <row r="360" ht="14.25" customHeight="1">
      <c r="A360" s="106"/>
      <c r="B360" s="75"/>
      <c r="C360" s="75"/>
      <c r="D360" s="75"/>
      <c r="E360" s="75"/>
      <c r="F360" s="75"/>
      <c r="G360" s="75"/>
      <c r="H360" s="75"/>
      <c r="I360" s="75"/>
    </row>
    <row r="361" ht="14.25" customHeight="1">
      <c r="A361" s="106"/>
      <c r="B361" s="75"/>
      <c r="C361" s="75"/>
      <c r="D361" s="75"/>
      <c r="E361" s="75"/>
      <c r="F361" s="75"/>
      <c r="G361" s="75"/>
      <c r="H361" s="75"/>
      <c r="I361" s="75"/>
    </row>
    <row r="362" ht="14.25" customHeight="1">
      <c r="A362" s="106"/>
      <c r="B362" s="75"/>
      <c r="C362" s="75"/>
      <c r="D362" s="75"/>
      <c r="E362" s="75"/>
      <c r="F362" s="75"/>
      <c r="G362" s="75"/>
      <c r="H362" s="75"/>
      <c r="I362" s="75"/>
    </row>
    <row r="363" ht="14.25" customHeight="1">
      <c r="A363" s="106"/>
      <c r="B363" s="75"/>
      <c r="C363" s="75"/>
      <c r="D363" s="75"/>
      <c r="E363" s="75"/>
      <c r="F363" s="75"/>
      <c r="G363" s="75"/>
      <c r="H363" s="75"/>
      <c r="I363" s="75"/>
    </row>
    <row r="364" ht="14.25" customHeight="1">
      <c r="A364" s="106"/>
      <c r="B364" s="75"/>
      <c r="C364" s="75"/>
      <c r="D364" s="75"/>
      <c r="E364" s="75"/>
      <c r="F364" s="75"/>
      <c r="G364" s="75"/>
      <c r="H364" s="75"/>
      <c r="I364" s="75"/>
    </row>
    <row r="365" ht="14.25" customHeight="1">
      <c r="A365" s="106"/>
      <c r="B365" s="75"/>
      <c r="C365" s="75"/>
      <c r="D365" s="75"/>
      <c r="E365" s="75"/>
      <c r="F365" s="75"/>
      <c r="G365" s="75"/>
      <c r="H365" s="75"/>
      <c r="I365" s="75"/>
    </row>
    <row r="366" ht="14.25" customHeight="1">
      <c r="A366" s="106"/>
      <c r="B366" s="75"/>
      <c r="C366" s="75"/>
      <c r="D366" s="75"/>
      <c r="E366" s="75"/>
      <c r="F366" s="75"/>
      <c r="G366" s="75"/>
      <c r="H366" s="75"/>
      <c r="I366" s="75"/>
    </row>
    <row r="367" ht="14.25" customHeight="1">
      <c r="A367" s="106"/>
      <c r="B367" s="75"/>
      <c r="C367" s="75"/>
      <c r="D367" s="75"/>
      <c r="E367" s="75"/>
      <c r="F367" s="75"/>
      <c r="G367" s="75"/>
      <c r="H367" s="75"/>
      <c r="I367" s="75"/>
    </row>
    <row r="368" ht="14.25" customHeight="1">
      <c r="A368" s="106"/>
      <c r="B368" s="75"/>
      <c r="C368" s="75"/>
      <c r="D368" s="75"/>
      <c r="E368" s="75"/>
      <c r="F368" s="75"/>
      <c r="G368" s="75"/>
      <c r="H368" s="75"/>
      <c r="I368" s="75"/>
    </row>
    <row r="369" ht="14.25" customHeight="1">
      <c r="A369" s="106"/>
      <c r="B369" s="75"/>
      <c r="C369" s="75"/>
      <c r="D369" s="75"/>
      <c r="E369" s="75"/>
      <c r="F369" s="75"/>
      <c r="G369" s="75"/>
      <c r="H369" s="75"/>
      <c r="I369" s="75"/>
    </row>
    <row r="370" ht="14.25" customHeight="1">
      <c r="A370" s="106"/>
      <c r="B370" s="75"/>
      <c r="C370" s="75"/>
      <c r="D370" s="75"/>
      <c r="E370" s="75"/>
      <c r="F370" s="75"/>
      <c r="G370" s="75"/>
      <c r="H370" s="75"/>
      <c r="I370" s="75"/>
    </row>
    <row r="371" ht="14.25" customHeight="1">
      <c r="A371" s="106"/>
      <c r="B371" s="75"/>
      <c r="C371" s="75"/>
      <c r="D371" s="75"/>
      <c r="E371" s="75"/>
      <c r="F371" s="75"/>
      <c r="G371" s="75"/>
      <c r="H371" s="75"/>
      <c r="I371" s="75"/>
    </row>
    <row r="372" ht="14.25" customHeight="1">
      <c r="A372" s="106"/>
      <c r="B372" s="75"/>
      <c r="C372" s="75"/>
      <c r="D372" s="75"/>
      <c r="E372" s="75"/>
      <c r="F372" s="75"/>
      <c r="G372" s="75"/>
      <c r="H372" s="75"/>
      <c r="I372" s="75"/>
    </row>
    <row r="373" ht="14.25" customHeight="1">
      <c r="A373" s="106"/>
      <c r="B373" s="75"/>
      <c r="C373" s="75"/>
      <c r="D373" s="75"/>
      <c r="E373" s="75"/>
      <c r="F373" s="75"/>
      <c r="G373" s="75"/>
      <c r="H373" s="75"/>
      <c r="I373" s="75"/>
    </row>
    <row r="374" ht="14.25" customHeight="1">
      <c r="A374" s="106"/>
      <c r="B374" s="75"/>
      <c r="C374" s="75"/>
      <c r="D374" s="75"/>
      <c r="E374" s="75"/>
      <c r="F374" s="75"/>
      <c r="G374" s="75"/>
      <c r="H374" s="75"/>
      <c r="I374" s="75"/>
    </row>
    <row r="375" ht="14.25" customHeight="1">
      <c r="A375" s="106"/>
      <c r="B375" s="75"/>
      <c r="C375" s="75"/>
      <c r="D375" s="75"/>
      <c r="E375" s="75"/>
      <c r="F375" s="75"/>
      <c r="G375" s="75"/>
      <c r="H375" s="75"/>
      <c r="I375" s="75"/>
    </row>
    <row r="376" ht="14.25" customHeight="1">
      <c r="A376" s="106"/>
      <c r="B376" s="75"/>
      <c r="C376" s="75"/>
      <c r="D376" s="75"/>
      <c r="E376" s="75"/>
      <c r="F376" s="75"/>
      <c r="G376" s="75"/>
      <c r="H376" s="75"/>
      <c r="I376" s="75"/>
    </row>
    <row r="377" ht="14.25" customHeight="1">
      <c r="A377" s="106"/>
      <c r="B377" s="75"/>
      <c r="C377" s="75"/>
      <c r="D377" s="75"/>
      <c r="E377" s="75"/>
      <c r="F377" s="75"/>
      <c r="G377" s="75"/>
      <c r="H377" s="75"/>
      <c r="I377" s="75"/>
    </row>
    <row r="378" ht="14.25" customHeight="1">
      <c r="A378" s="106"/>
      <c r="B378" s="75"/>
      <c r="C378" s="75"/>
      <c r="D378" s="75"/>
      <c r="E378" s="75"/>
      <c r="F378" s="75"/>
      <c r="G378" s="75"/>
      <c r="H378" s="75"/>
      <c r="I378" s="75"/>
    </row>
    <row r="379" ht="14.25" customHeight="1">
      <c r="A379" s="106"/>
      <c r="B379" s="75"/>
      <c r="C379" s="75"/>
      <c r="D379" s="75"/>
      <c r="E379" s="75"/>
      <c r="F379" s="75"/>
      <c r="G379" s="75"/>
      <c r="H379" s="75"/>
      <c r="I379" s="75"/>
    </row>
    <row r="380" ht="14.25" customHeight="1">
      <c r="A380" s="106"/>
      <c r="B380" s="75"/>
      <c r="C380" s="75"/>
      <c r="D380" s="75"/>
      <c r="E380" s="75"/>
      <c r="F380" s="75"/>
      <c r="G380" s="75"/>
      <c r="H380" s="75"/>
      <c r="I380" s="75"/>
    </row>
    <row r="381" ht="14.25" customHeight="1">
      <c r="A381" s="106"/>
      <c r="B381" s="75"/>
      <c r="C381" s="75"/>
      <c r="D381" s="75"/>
      <c r="E381" s="75"/>
      <c r="F381" s="75"/>
      <c r="G381" s="75"/>
      <c r="H381" s="75"/>
      <c r="I381" s="75"/>
    </row>
    <row r="382" ht="14.25" customHeight="1">
      <c r="A382" s="106"/>
      <c r="B382" s="75"/>
      <c r="C382" s="75"/>
      <c r="D382" s="75"/>
      <c r="E382" s="75"/>
      <c r="F382" s="75"/>
      <c r="G382" s="75"/>
      <c r="H382" s="75"/>
      <c r="I382" s="75"/>
    </row>
    <row r="383" ht="14.25" customHeight="1">
      <c r="A383" s="106"/>
      <c r="B383" s="75"/>
      <c r="C383" s="75"/>
      <c r="D383" s="75"/>
      <c r="E383" s="75"/>
      <c r="F383" s="75"/>
      <c r="G383" s="75"/>
      <c r="H383" s="75"/>
      <c r="I383" s="75"/>
    </row>
    <row r="384" ht="14.25" customHeight="1">
      <c r="A384" s="106"/>
      <c r="B384" s="75"/>
      <c r="C384" s="75"/>
      <c r="D384" s="75"/>
      <c r="E384" s="75"/>
      <c r="F384" s="75"/>
      <c r="G384" s="75"/>
      <c r="H384" s="75"/>
      <c r="I384" s="75"/>
    </row>
    <row r="385" ht="14.25" customHeight="1">
      <c r="A385" s="106"/>
      <c r="B385" s="75"/>
      <c r="C385" s="75"/>
      <c r="D385" s="75"/>
      <c r="E385" s="75"/>
      <c r="F385" s="75"/>
      <c r="G385" s="75"/>
      <c r="H385" s="75"/>
      <c r="I385" s="75"/>
    </row>
    <row r="386" ht="14.25" customHeight="1">
      <c r="A386" s="106"/>
      <c r="B386" s="75"/>
      <c r="C386" s="75"/>
      <c r="D386" s="75"/>
      <c r="E386" s="75"/>
      <c r="F386" s="75"/>
      <c r="G386" s="75"/>
      <c r="H386" s="75"/>
      <c r="I386" s="75"/>
    </row>
    <row r="387" ht="14.25" customHeight="1">
      <c r="A387" s="106"/>
      <c r="B387" s="75"/>
      <c r="C387" s="75"/>
      <c r="D387" s="75"/>
      <c r="E387" s="75"/>
      <c r="F387" s="75"/>
      <c r="G387" s="75"/>
      <c r="H387" s="75"/>
      <c r="I387" s="75"/>
    </row>
    <row r="388" ht="14.25" customHeight="1">
      <c r="A388" s="106"/>
      <c r="B388" s="75"/>
      <c r="C388" s="75"/>
      <c r="D388" s="75"/>
      <c r="E388" s="75"/>
      <c r="F388" s="75"/>
      <c r="G388" s="75"/>
      <c r="H388" s="75"/>
      <c r="I388" s="75"/>
    </row>
    <row r="389" ht="14.25" customHeight="1">
      <c r="A389" s="106"/>
      <c r="B389" s="75"/>
      <c r="C389" s="75"/>
      <c r="D389" s="75"/>
      <c r="E389" s="75"/>
      <c r="F389" s="75"/>
      <c r="G389" s="75"/>
      <c r="H389" s="75"/>
      <c r="I389" s="75"/>
    </row>
    <row r="390" ht="14.25" customHeight="1">
      <c r="A390" s="106"/>
      <c r="B390" s="75"/>
      <c r="C390" s="75"/>
      <c r="D390" s="75"/>
      <c r="E390" s="75"/>
      <c r="F390" s="75"/>
      <c r="G390" s="75"/>
      <c r="H390" s="75"/>
      <c r="I390" s="75"/>
    </row>
    <row r="391" ht="14.25" customHeight="1">
      <c r="A391" s="106"/>
      <c r="B391" s="75"/>
      <c r="C391" s="75"/>
      <c r="D391" s="75"/>
      <c r="E391" s="75"/>
      <c r="F391" s="75"/>
      <c r="G391" s="75"/>
      <c r="H391" s="75"/>
      <c r="I391" s="75"/>
    </row>
    <row r="392" ht="14.25" customHeight="1">
      <c r="A392" s="106"/>
      <c r="B392" s="75"/>
      <c r="C392" s="75"/>
      <c r="D392" s="75"/>
      <c r="E392" s="75"/>
      <c r="F392" s="75"/>
      <c r="G392" s="75"/>
      <c r="H392" s="75"/>
      <c r="I392" s="75"/>
    </row>
    <row r="393" ht="14.25" customHeight="1">
      <c r="A393" s="106"/>
      <c r="B393" s="75"/>
      <c r="C393" s="75"/>
      <c r="D393" s="75"/>
      <c r="E393" s="75"/>
      <c r="F393" s="75"/>
      <c r="G393" s="75"/>
      <c r="H393" s="75"/>
      <c r="I393" s="75"/>
    </row>
    <row r="394" ht="14.25" customHeight="1">
      <c r="A394" s="106"/>
      <c r="B394" s="75"/>
      <c r="C394" s="75"/>
      <c r="D394" s="75"/>
      <c r="E394" s="75"/>
      <c r="F394" s="75"/>
      <c r="G394" s="75"/>
      <c r="H394" s="75"/>
      <c r="I394" s="75"/>
    </row>
    <row r="395" ht="14.25" customHeight="1">
      <c r="A395" s="106"/>
      <c r="B395" s="75"/>
      <c r="C395" s="75"/>
      <c r="D395" s="75"/>
      <c r="E395" s="75"/>
      <c r="F395" s="75"/>
      <c r="G395" s="75"/>
      <c r="H395" s="75"/>
      <c r="I395" s="75"/>
    </row>
    <row r="396" ht="14.25" customHeight="1">
      <c r="A396" s="106"/>
      <c r="B396" s="75"/>
      <c r="C396" s="75"/>
      <c r="D396" s="75"/>
      <c r="E396" s="75"/>
      <c r="F396" s="75"/>
      <c r="G396" s="75"/>
      <c r="H396" s="75"/>
      <c r="I396" s="75"/>
    </row>
    <row r="397" ht="14.25" customHeight="1">
      <c r="A397" s="106"/>
      <c r="B397" s="75"/>
      <c r="C397" s="75"/>
      <c r="D397" s="75"/>
      <c r="E397" s="75"/>
      <c r="F397" s="75"/>
      <c r="G397" s="75"/>
      <c r="H397" s="75"/>
      <c r="I397" s="75"/>
    </row>
    <row r="398" ht="14.25" customHeight="1">
      <c r="A398" s="106"/>
      <c r="B398" s="75"/>
      <c r="C398" s="75"/>
      <c r="D398" s="75"/>
      <c r="E398" s="75"/>
      <c r="F398" s="75"/>
      <c r="G398" s="75"/>
      <c r="H398" s="75"/>
      <c r="I398" s="75"/>
    </row>
    <row r="399" ht="14.25" customHeight="1">
      <c r="A399" s="106"/>
      <c r="B399" s="75"/>
      <c r="C399" s="75"/>
      <c r="D399" s="75"/>
      <c r="E399" s="75"/>
      <c r="F399" s="75"/>
      <c r="G399" s="75"/>
      <c r="H399" s="75"/>
      <c r="I399" s="75"/>
    </row>
    <row r="400" ht="14.25" customHeight="1">
      <c r="A400" s="106"/>
      <c r="B400" s="75"/>
      <c r="C400" s="75"/>
      <c r="D400" s="75"/>
      <c r="E400" s="75"/>
      <c r="F400" s="75"/>
      <c r="G400" s="75"/>
      <c r="H400" s="75"/>
      <c r="I400" s="75"/>
    </row>
    <row r="401" ht="14.25" customHeight="1">
      <c r="A401" s="106"/>
      <c r="B401" s="75"/>
      <c r="C401" s="75"/>
      <c r="D401" s="75"/>
      <c r="E401" s="75"/>
      <c r="F401" s="75"/>
      <c r="G401" s="75"/>
      <c r="H401" s="75"/>
      <c r="I401" s="75"/>
    </row>
    <row r="402" ht="14.25" customHeight="1">
      <c r="A402" s="106"/>
      <c r="B402" s="75"/>
      <c r="C402" s="75"/>
      <c r="D402" s="75"/>
      <c r="E402" s="75"/>
      <c r="F402" s="75"/>
      <c r="G402" s="75"/>
      <c r="H402" s="75"/>
      <c r="I402" s="75"/>
    </row>
    <row r="403" ht="14.25" customHeight="1">
      <c r="A403" s="106"/>
      <c r="B403" s="75"/>
      <c r="C403" s="75"/>
      <c r="D403" s="75"/>
      <c r="E403" s="75"/>
      <c r="F403" s="75"/>
      <c r="G403" s="75"/>
      <c r="H403" s="75"/>
      <c r="I403" s="75"/>
    </row>
    <row r="404" ht="14.25" customHeight="1">
      <c r="A404" s="106"/>
      <c r="B404" s="75"/>
      <c r="C404" s="75"/>
      <c r="D404" s="75"/>
      <c r="E404" s="75"/>
      <c r="F404" s="75"/>
      <c r="G404" s="75"/>
      <c r="H404" s="75"/>
      <c r="I404" s="75"/>
    </row>
    <row r="405" ht="14.25" customHeight="1">
      <c r="A405" s="106"/>
      <c r="B405" s="75"/>
      <c r="C405" s="75"/>
      <c r="D405" s="75"/>
      <c r="E405" s="75"/>
      <c r="F405" s="75"/>
      <c r="G405" s="75"/>
      <c r="H405" s="75"/>
      <c r="I405" s="75"/>
    </row>
    <row r="406" ht="14.25" customHeight="1">
      <c r="A406" s="106"/>
      <c r="B406" s="75"/>
      <c r="C406" s="75"/>
      <c r="D406" s="75"/>
      <c r="E406" s="75"/>
      <c r="F406" s="75"/>
      <c r="G406" s="75"/>
      <c r="H406" s="75"/>
      <c r="I406" s="75"/>
    </row>
    <row r="407" ht="14.25" customHeight="1">
      <c r="A407" s="106"/>
      <c r="B407" s="75"/>
      <c r="C407" s="75"/>
      <c r="D407" s="75"/>
      <c r="E407" s="75"/>
      <c r="F407" s="75"/>
      <c r="G407" s="75"/>
      <c r="H407" s="75"/>
      <c r="I407" s="75"/>
    </row>
    <row r="408" ht="14.25" customHeight="1">
      <c r="A408" s="106"/>
      <c r="B408" s="75"/>
      <c r="C408" s="75"/>
      <c r="D408" s="75"/>
      <c r="E408" s="75"/>
      <c r="F408" s="75"/>
      <c r="G408" s="75"/>
      <c r="H408" s="75"/>
      <c r="I408" s="75"/>
    </row>
    <row r="409" ht="14.25" customHeight="1">
      <c r="A409" s="106"/>
      <c r="B409" s="75"/>
      <c r="C409" s="75"/>
      <c r="D409" s="75"/>
      <c r="E409" s="75"/>
      <c r="F409" s="75"/>
      <c r="G409" s="75"/>
      <c r="H409" s="75"/>
      <c r="I409" s="75"/>
    </row>
    <row r="410" ht="14.25" customHeight="1">
      <c r="A410" s="106"/>
      <c r="B410" s="75"/>
      <c r="C410" s="75"/>
      <c r="D410" s="75"/>
      <c r="E410" s="75"/>
      <c r="F410" s="75"/>
      <c r="G410" s="75"/>
      <c r="H410" s="75"/>
      <c r="I410" s="75"/>
    </row>
    <row r="411" ht="14.25" customHeight="1">
      <c r="A411" s="106"/>
      <c r="B411" s="75"/>
      <c r="C411" s="75"/>
      <c r="D411" s="75"/>
      <c r="E411" s="75"/>
      <c r="F411" s="75"/>
      <c r="G411" s="75"/>
      <c r="H411" s="75"/>
      <c r="I411" s="75"/>
    </row>
    <row r="412" ht="14.25" customHeight="1">
      <c r="A412" s="106"/>
      <c r="B412" s="75"/>
      <c r="C412" s="75"/>
      <c r="D412" s="75"/>
      <c r="E412" s="75"/>
      <c r="F412" s="75"/>
      <c r="G412" s="75"/>
      <c r="H412" s="75"/>
      <c r="I412" s="75"/>
    </row>
    <row r="413" ht="14.25" customHeight="1">
      <c r="A413" s="106"/>
      <c r="B413" s="75"/>
      <c r="C413" s="75"/>
      <c r="D413" s="75"/>
      <c r="E413" s="75"/>
      <c r="F413" s="75"/>
      <c r="G413" s="75"/>
      <c r="H413" s="75"/>
      <c r="I413" s="75"/>
    </row>
    <row r="414" ht="14.25" customHeight="1">
      <c r="A414" s="106"/>
      <c r="B414" s="75"/>
      <c r="C414" s="75"/>
      <c r="D414" s="75"/>
      <c r="E414" s="75"/>
      <c r="F414" s="75"/>
      <c r="G414" s="75"/>
      <c r="H414" s="75"/>
      <c r="I414" s="75"/>
    </row>
    <row r="415" ht="14.25" customHeight="1">
      <c r="A415" s="106"/>
      <c r="B415" s="75"/>
      <c r="C415" s="75"/>
      <c r="D415" s="75"/>
      <c r="E415" s="75"/>
      <c r="F415" s="75"/>
      <c r="G415" s="75"/>
      <c r="H415" s="75"/>
      <c r="I415" s="75"/>
    </row>
    <row r="416" ht="14.25" customHeight="1">
      <c r="A416" s="106"/>
      <c r="B416" s="75"/>
      <c r="C416" s="75"/>
      <c r="D416" s="75"/>
      <c r="E416" s="75"/>
      <c r="F416" s="75"/>
      <c r="G416" s="75"/>
      <c r="H416" s="75"/>
      <c r="I416" s="75"/>
    </row>
    <row r="417" ht="14.25" customHeight="1">
      <c r="A417" s="106"/>
      <c r="B417" s="75"/>
      <c r="C417" s="75"/>
      <c r="D417" s="75"/>
      <c r="E417" s="75"/>
      <c r="F417" s="75"/>
      <c r="G417" s="75"/>
      <c r="H417" s="75"/>
      <c r="I417" s="75"/>
    </row>
    <row r="418" ht="14.25" customHeight="1">
      <c r="A418" s="106"/>
      <c r="B418" s="75"/>
      <c r="C418" s="75"/>
      <c r="D418" s="75"/>
      <c r="E418" s="75"/>
      <c r="F418" s="75"/>
      <c r="G418" s="75"/>
      <c r="H418" s="75"/>
      <c r="I418" s="75"/>
    </row>
    <row r="419" ht="14.25" customHeight="1">
      <c r="A419" s="106"/>
      <c r="B419" s="75"/>
      <c r="C419" s="75"/>
      <c r="D419" s="75"/>
      <c r="E419" s="75"/>
      <c r="F419" s="75"/>
      <c r="G419" s="75"/>
      <c r="H419" s="75"/>
      <c r="I419" s="75"/>
    </row>
    <row r="420" ht="14.25" customHeight="1">
      <c r="A420" s="106"/>
      <c r="B420" s="75"/>
      <c r="C420" s="75"/>
      <c r="D420" s="75"/>
      <c r="E420" s="75"/>
      <c r="F420" s="75"/>
      <c r="G420" s="75"/>
      <c r="H420" s="75"/>
      <c r="I420" s="75"/>
    </row>
    <row r="421" ht="14.25" customHeight="1">
      <c r="A421" s="106"/>
      <c r="B421" s="75"/>
      <c r="C421" s="75"/>
      <c r="D421" s="75"/>
      <c r="E421" s="75"/>
      <c r="F421" s="75"/>
      <c r="G421" s="75"/>
      <c r="H421" s="75"/>
      <c r="I421" s="75"/>
    </row>
    <row r="422" ht="14.25" customHeight="1">
      <c r="A422" s="106"/>
      <c r="B422" s="75"/>
      <c r="C422" s="75"/>
      <c r="D422" s="75"/>
      <c r="E422" s="75"/>
      <c r="F422" s="75"/>
      <c r="G422" s="75"/>
      <c r="H422" s="75"/>
      <c r="I422" s="75"/>
    </row>
    <row r="423" ht="14.25" customHeight="1">
      <c r="A423" s="106"/>
      <c r="B423" s="75"/>
      <c r="C423" s="75"/>
      <c r="D423" s="75"/>
      <c r="E423" s="75"/>
      <c r="F423" s="75"/>
      <c r="G423" s="75"/>
      <c r="H423" s="75"/>
      <c r="I423" s="75"/>
    </row>
    <row r="424" ht="14.25" customHeight="1">
      <c r="A424" s="106"/>
      <c r="B424" s="75"/>
      <c r="C424" s="75"/>
      <c r="D424" s="75"/>
      <c r="E424" s="75"/>
      <c r="F424" s="75"/>
      <c r="G424" s="75"/>
      <c r="H424" s="75"/>
      <c r="I424" s="75"/>
    </row>
    <row r="425" ht="14.25" customHeight="1">
      <c r="A425" s="106"/>
      <c r="B425" s="75"/>
      <c r="C425" s="75"/>
      <c r="D425" s="75"/>
      <c r="E425" s="75"/>
      <c r="F425" s="75"/>
      <c r="G425" s="75"/>
      <c r="H425" s="75"/>
      <c r="I425" s="75"/>
    </row>
    <row r="426" ht="14.25" customHeight="1">
      <c r="A426" s="106"/>
      <c r="B426" s="75"/>
      <c r="C426" s="75"/>
      <c r="D426" s="75"/>
      <c r="E426" s="75"/>
      <c r="F426" s="75"/>
      <c r="G426" s="75"/>
      <c r="H426" s="75"/>
      <c r="I426" s="75"/>
    </row>
    <row r="427" ht="14.25" customHeight="1">
      <c r="A427" s="106"/>
      <c r="B427" s="75"/>
      <c r="C427" s="75"/>
      <c r="D427" s="75"/>
      <c r="E427" s="75"/>
      <c r="F427" s="75"/>
      <c r="G427" s="75"/>
      <c r="H427" s="75"/>
      <c r="I427" s="75"/>
    </row>
    <row r="428" ht="14.25" customHeight="1">
      <c r="A428" s="106"/>
      <c r="B428" s="75"/>
      <c r="C428" s="75"/>
      <c r="D428" s="75"/>
      <c r="E428" s="75"/>
      <c r="F428" s="75"/>
      <c r="G428" s="75"/>
      <c r="H428" s="75"/>
      <c r="I428" s="75"/>
    </row>
    <row r="429" ht="14.25" customHeight="1">
      <c r="A429" s="106"/>
      <c r="B429" s="75"/>
      <c r="C429" s="75"/>
      <c r="D429" s="75"/>
      <c r="E429" s="75"/>
      <c r="F429" s="75"/>
      <c r="G429" s="75"/>
      <c r="H429" s="75"/>
      <c r="I429" s="75"/>
    </row>
    <row r="430" ht="14.25" customHeight="1">
      <c r="A430" s="106"/>
      <c r="B430" s="75"/>
      <c r="C430" s="75"/>
      <c r="D430" s="75"/>
      <c r="E430" s="75"/>
      <c r="F430" s="75"/>
      <c r="G430" s="75"/>
      <c r="H430" s="75"/>
      <c r="I430" s="75"/>
    </row>
    <row r="431" ht="14.25" customHeight="1">
      <c r="A431" s="106"/>
      <c r="B431" s="75"/>
      <c r="C431" s="75"/>
      <c r="D431" s="75"/>
      <c r="E431" s="75"/>
      <c r="F431" s="75"/>
      <c r="G431" s="75"/>
      <c r="H431" s="75"/>
      <c r="I431" s="75"/>
    </row>
    <row r="432" ht="14.25" customHeight="1">
      <c r="A432" s="106"/>
      <c r="B432" s="75"/>
      <c r="C432" s="75"/>
      <c r="D432" s="75"/>
      <c r="E432" s="75"/>
      <c r="F432" s="75"/>
      <c r="G432" s="75"/>
      <c r="H432" s="75"/>
      <c r="I432" s="75"/>
    </row>
    <row r="433" ht="14.25" customHeight="1">
      <c r="A433" s="106"/>
      <c r="B433" s="75"/>
      <c r="C433" s="75"/>
      <c r="D433" s="75"/>
      <c r="E433" s="75"/>
      <c r="F433" s="75"/>
      <c r="G433" s="75"/>
      <c r="H433" s="75"/>
      <c r="I433" s="75"/>
    </row>
    <row r="434" ht="14.25" customHeight="1">
      <c r="A434" s="106"/>
      <c r="B434" s="75"/>
      <c r="C434" s="75"/>
      <c r="D434" s="75"/>
      <c r="E434" s="75"/>
      <c r="F434" s="75"/>
      <c r="G434" s="75"/>
      <c r="H434" s="75"/>
      <c r="I434" s="75"/>
    </row>
    <row r="435" ht="14.25" customHeight="1">
      <c r="A435" s="106"/>
      <c r="B435" s="75"/>
      <c r="C435" s="75"/>
      <c r="D435" s="75"/>
      <c r="E435" s="75"/>
      <c r="F435" s="75"/>
      <c r="G435" s="75"/>
      <c r="H435" s="75"/>
      <c r="I435" s="75"/>
    </row>
    <row r="436" ht="14.25" customHeight="1">
      <c r="A436" s="106"/>
      <c r="B436" s="75"/>
      <c r="C436" s="75"/>
      <c r="D436" s="75"/>
      <c r="E436" s="75"/>
      <c r="F436" s="75"/>
      <c r="G436" s="75"/>
      <c r="H436" s="75"/>
      <c r="I436" s="75"/>
    </row>
    <row r="437" ht="14.25" customHeight="1">
      <c r="A437" s="106"/>
      <c r="B437" s="75"/>
      <c r="C437" s="75"/>
      <c r="D437" s="75"/>
      <c r="E437" s="75"/>
      <c r="F437" s="75"/>
      <c r="G437" s="75"/>
      <c r="H437" s="75"/>
      <c r="I437" s="75"/>
    </row>
    <row r="438" ht="14.25" customHeight="1">
      <c r="A438" s="106"/>
      <c r="B438" s="75"/>
      <c r="C438" s="75"/>
      <c r="D438" s="75"/>
      <c r="E438" s="75"/>
      <c r="F438" s="75"/>
      <c r="G438" s="75"/>
      <c r="H438" s="75"/>
      <c r="I438" s="75"/>
    </row>
    <row r="439" ht="14.25" customHeight="1">
      <c r="A439" s="106"/>
      <c r="B439" s="75"/>
      <c r="C439" s="75"/>
      <c r="D439" s="75"/>
      <c r="E439" s="75"/>
      <c r="F439" s="75"/>
      <c r="G439" s="75"/>
      <c r="H439" s="75"/>
      <c r="I439" s="75"/>
    </row>
    <row r="440" ht="14.25" customHeight="1">
      <c r="A440" s="106"/>
      <c r="B440" s="75"/>
      <c r="C440" s="75"/>
      <c r="D440" s="75"/>
      <c r="E440" s="75"/>
      <c r="F440" s="75"/>
      <c r="G440" s="75"/>
      <c r="H440" s="75"/>
      <c r="I440" s="75"/>
    </row>
    <row r="441" ht="14.25" customHeight="1">
      <c r="A441" s="106"/>
      <c r="B441" s="75"/>
      <c r="C441" s="75"/>
      <c r="D441" s="75"/>
      <c r="E441" s="75"/>
      <c r="F441" s="75"/>
      <c r="G441" s="75"/>
      <c r="H441" s="75"/>
      <c r="I441" s="75"/>
    </row>
    <row r="442" ht="14.25" customHeight="1">
      <c r="A442" s="106"/>
      <c r="B442" s="75"/>
      <c r="C442" s="75"/>
      <c r="D442" s="75"/>
      <c r="E442" s="75"/>
      <c r="F442" s="75"/>
      <c r="G442" s="75"/>
      <c r="H442" s="75"/>
      <c r="I442" s="75"/>
    </row>
    <row r="443" ht="14.25" customHeight="1">
      <c r="A443" s="106"/>
      <c r="B443" s="75"/>
      <c r="C443" s="75"/>
      <c r="D443" s="75"/>
      <c r="E443" s="75"/>
      <c r="F443" s="75"/>
      <c r="G443" s="75"/>
      <c r="H443" s="75"/>
      <c r="I443" s="75"/>
    </row>
    <row r="444" ht="14.25" customHeight="1">
      <c r="A444" s="106"/>
      <c r="B444" s="75"/>
      <c r="C444" s="75"/>
      <c r="D444" s="75"/>
      <c r="E444" s="75"/>
      <c r="F444" s="75"/>
      <c r="G444" s="75"/>
      <c r="H444" s="75"/>
      <c r="I444" s="75"/>
    </row>
    <row r="445" ht="14.25" customHeight="1">
      <c r="A445" s="106"/>
      <c r="B445" s="75"/>
      <c r="C445" s="75"/>
      <c r="D445" s="75"/>
      <c r="E445" s="75"/>
      <c r="F445" s="75"/>
      <c r="G445" s="75"/>
      <c r="H445" s="75"/>
      <c r="I445" s="75"/>
    </row>
    <row r="446" ht="14.25" customHeight="1">
      <c r="A446" s="106"/>
      <c r="B446" s="75"/>
      <c r="C446" s="75"/>
      <c r="D446" s="75"/>
      <c r="E446" s="75"/>
      <c r="F446" s="75"/>
      <c r="G446" s="75"/>
      <c r="H446" s="75"/>
      <c r="I446" s="75"/>
    </row>
    <row r="447" ht="14.25" customHeight="1">
      <c r="A447" s="106"/>
      <c r="B447" s="75"/>
      <c r="C447" s="75"/>
      <c r="D447" s="75"/>
      <c r="E447" s="75"/>
      <c r="F447" s="75"/>
      <c r="G447" s="75"/>
      <c r="H447" s="75"/>
      <c r="I447" s="75"/>
    </row>
    <row r="448" ht="14.25" customHeight="1">
      <c r="A448" s="106"/>
      <c r="B448" s="75"/>
      <c r="C448" s="75"/>
      <c r="D448" s="75"/>
      <c r="E448" s="75"/>
      <c r="F448" s="75"/>
      <c r="G448" s="75"/>
      <c r="H448" s="75"/>
      <c r="I448" s="75"/>
    </row>
    <row r="449" ht="14.25" customHeight="1">
      <c r="A449" s="106"/>
      <c r="B449" s="75"/>
      <c r="C449" s="75"/>
      <c r="D449" s="75"/>
      <c r="E449" s="75"/>
      <c r="F449" s="75"/>
      <c r="G449" s="75"/>
      <c r="H449" s="75"/>
      <c r="I449" s="75"/>
    </row>
    <row r="450" ht="14.25" customHeight="1">
      <c r="A450" s="106"/>
      <c r="B450" s="75"/>
      <c r="C450" s="75"/>
      <c r="D450" s="75"/>
      <c r="E450" s="75"/>
      <c r="F450" s="75"/>
      <c r="G450" s="75"/>
      <c r="H450" s="75"/>
      <c r="I450" s="75"/>
    </row>
    <row r="451" ht="14.25" customHeight="1">
      <c r="A451" s="106"/>
      <c r="B451" s="75"/>
      <c r="C451" s="75"/>
      <c r="D451" s="75"/>
      <c r="E451" s="75"/>
      <c r="F451" s="75"/>
      <c r="G451" s="75"/>
      <c r="H451" s="75"/>
      <c r="I451" s="75"/>
    </row>
    <row r="452" ht="14.25" customHeight="1">
      <c r="A452" s="106"/>
      <c r="B452" s="75"/>
      <c r="C452" s="75"/>
      <c r="D452" s="75"/>
      <c r="E452" s="75"/>
      <c r="F452" s="75"/>
      <c r="G452" s="75"/>
      <c r="H452" s="75"/>
      <c r="I452" s="75"/>
    </row>
    <row r="453" ht="14.25" customHeight="1">
      <c r="A453" s="106"/>
      <c r="B453" s="75"/>
      <c r="C453" s="75"/>
      <c r="D453" s="75"/>
      <c r="E453" s="75"/>
      <c r="F453" s="75"/>
      <c r="G453" s="75"/>
      <c r="H453" s="75"/>
      <c r="I453" s="75"/>
    </row>
    <row r="454" ht="14.25" customHeight="1">
      <c r="A454" s="106"/>
      <c r="B454" s="75"/>
      <c r="C454" s="75"/>
      <c r="D454" s="75"/>
      <c r="E454" s="75"/>
      <c r="F454" s="75"/>
      <c r="G454" s="75"/>
      <c r="H454" s="75"/>
      <c r="I454" s="75"/>
    </row>
    <row r="455" ht="14.25" customHeight="1">
      <c r="A455" s="106"/>
      <c r="B455" s="75"/>
      <c r="C455" s="75"/>
      <c r="D455" s="75"/>
      <c r="E455" s="75"/>
      <c r="F455" s="75"/>
      <c r="G455" s="75"/>
      <c r="H455" s="75"/>
      <c r="I455" s="75"/>
    </row>
    <row r="456" ht="14.25" customHeight="1">
      <c r="A456" s="106"/>
      <c r="B456" s="75"/>
      <c r="C456" s="75"/>
      <c r="D456" s="75"/>
      <c r="E456" s="75"/>
      <c r="F456" s="75"/>
      <c r="G456" s="75"/>
      <c r="H456" s="75"/>
      <c r="I456" s="75"/>
    </row>
    <row r="457" ht="14.25" customHeight="1">
      <c r="A457" s="106"/>
      <c r="B457" s="75"/>
      <c r="C457" s="75"/>
      <c r="D457" s="75"/>
      <c r="E457" s="75"/>
      <c r="F457" s="75"/>
      <c r="G457" s="75"/>
      <c r="H457" s="75"/>
      <c r="I457" s="75"/>
    </row>
    <row r="458" ht="14.25" customHeight="1">
      <c r="A458" s="106"/>
      <c r="B458" s="75"/>
      <c r="C458" s="75"/>
      <c r="D458" s="75"/>
      <c r="E458" s="75"/>
      <c r="F458" s="75"/>
      <c r="G458" s="75"/>
      <c r="H458" s="75"/>
      <c r="I458" s="75"/>
    </row>
    <row r="459" ht="14.25" customHeight="1">
      <c r="A459" s="106"/>
      <c r="B459" s="75"/>
      <c r="C459" s="75"/>
      <c r="D459" s="75"/>
      <c r="E459" s="75"/>
      <c r="F459" s="75"/>
      <c r="G459" s="75"/>
      <c r="H459" s="75"/>
      <c r="I459" s="75"/>
    </row>
    <row r="460" ht="14.25" customHeight="1">
      <c r="A460" s="106"/>
      <c r="B460" s="75"/>
      <c r="C460" s="75"/>
      <c r="D460" s="75"/>
      <c r="E460" s="75"/>
      <c r="F460" s="75"/>
      <c r="G460" s="75"/>
      <c r="H460" s="75"/>
      <c r="I460" s="75"/>
    </row>
    <row r="461" ht="14.25" customHeight="1">
      <c r="A461" s="106"/>
      <c r="B461" s="75"/>
      <c r="C461" s="75"/>
      <c r="D461" s="75"/>
      <c r="E461" s="75"/>
      <c r="F461" s="75"/>
      <c r="G461" s="75"/>
      <c r="H461" s="75"/>
      <c r="I461" s="75"/>
    </row>
    <row r="462" ht="14.25" customHeight="1">
      <c r="A462" s="106"/>
      <c r="B462" s="75"/>
      <c r="C462" s="75"/>
      <c r="D462" s="75"/>
      <c r="E462" s="75"/>
      <c r="F462" s="75"/>
      <c r="G462" s="75"/>
      <c r="H462" s="75"/>
      <c r="I462" s="75"/>
    </row>
    <row r="463" ht="14.25" customHeight="1">
      <c r="A463" s="106"/>
      <c r="B463" s="75"/>
      <c r="C463" s="75"/>
      <c r="D463" s="75"/>
      <c r="E463" s="75"/>
      <c r="F463" s="75"/>
      <c r="G463" s="75"/>
      <c r="H463" s="75"/>
      <c r="I463" s="75"/>
    </row>
    <row r="464" ht="14.25" customHeight="1">
      <c r="A464" s="106"/>
      <c r="B464" s="75"/>
      <c r="C464" s="75"/>
      <c r="D464" s="75"/>
      <c r="E464" s="75"/>
      <c r="F464" s="75"/>
      <c r="G464" s="75"/>
      <c r="H464" s="75"/>
      <c r="I464" s="75"/>
    </row>
    <row r="465" ht="14.25" customHeight="1">
      <c r="A465" s="106"/>
      <c r="B465" s="75"/>
      <c r="C465" s="75"/>
      <c r="D465" s="75"/>
      <c r="E465" s="75"/>
      <c r="F465" s="75"/>
      <c r="G465" s="75"/>
      <c r="H465" s="75"/>
      <c r="I465" s="75"/>
    </row>
    <row r="466" ht="14.25" customHeight="1">
      <c r="A466" s="106"/>
      <c r="B466" s="75"/>
      <c r="C466" s="75"/>
      <c r="D466" s="75"/>
      <c r="E466" s="75"/>
      <c r="F466" s="75"/>
      <c r="G466" s="75"/>
      <c r="H466" s="75"/>
      <c r="I466" s="75"/>
    </row>
    <row r="467" ht="14.25" customHeight="1">
      <c r="A467" s="106"/>
      <c r="B467" s="75"/>
      <c r="C467" s="75"/>
      <c r="D467" s="75"/>
      <c r="E467" s="75"/>
      <c r="F467" s="75"/>
      <c r="G467" s="75"/>
      <c r="H467" s="75"/>
      <c r="I467" s="75"/>
    </row>
    <row r="468" ht="14.25" customHeight="1">
      <c r="A468" s="106"/>
      <c r="B468" s="75"/>
      <c r="C468" s="75"/>
      <c r="D468" s="75"/>
      <c r="E468" s="75"/>
      <c r="F468" s="75"/>
      <c r="G468" s="75"/>
      <c r="H468" s="75"/>
      <c r="I468" s="75"/>
    </row>
    <row r="469" ht="14.25" customHeight="1">
      <c r="A469" s="106"/>
      <c r="B469" s="75"/>
      <c r="C469" s="75"/>
      <c r="D469" s="75"/>
      <c r="E469" s="75"/>
      <c r="F469" s="75"/>
      <c r="G469" s="75"/>
      <c r="H469" s="75"/>
      <c r="I469" s="75"/>
    </row>
    <row r="470" ht="14.25" customHeight="1">
      <c r="A470" s="106"/>
      <c r="B470" s="75"/>
      <c r="C470" s="75"/>
      <c r="D470" s="75"/>
      <c r="E470" s="75"/>
      <c r="F470" s="75"/>
      <c r="G470" s="75"/>
      <c r="H470" s="75"/>
      <c r="I470" s="75"/>
    </row>
    <row r="471" ht="14.25" customHeight="1">
      <c r="A471" s="106"/>
      <c r="B471" s="75"/>
      <c r="C471" s="75"/>
      <c r="D471" s="75"/>
      <c r="E471" s="75"/>
      <c r="F471" s="75"/>
      <c r="G471" s="75"/>
      <c r="H471" s="75"/>
      <c r="I471" s="75"/>
    </row>
    <row r="472" ht="14.25" customHeight="1">
      <c r="A472" s="106"/>
      <c r="B472" s="75"/>
      <c r="C472" s="75"/>
      <c r="D472" s="75"/>
      <c r="E472" s="75"/>
      <c r="F472" s="75"/>
      <c r="G472" s="75"/>
      <c r="H472" s="75"/>
      <c r="I472" s="75"/>
    </row>
    <row r="473" ht="14.25" customHeight="1">
      <c r="A473" s="106"/>
      <c r="B473" s="75"/>
      <c r="C473" s="75"/>
      <c r="D473" s="75"/>
      <c r="E473" s="75"/>
      <c r="F473" s="75"/>
      <c r="G473" s="75"/>
      <c r="H473" s="75"/>
      <c r="I473" s="75"/>
    </row>
    <row r="474" ht="14.25" customHeight="1">
      <c r="A474" s="106"/>
      <c r="B474" s="75"/>
      <c r="C474" s="75"/>
      <c r="D474" s="75"/>
      <c r="E474" s="75"/>
      <c r="F474" s="75"/>
      <c r="G474" s="75"/>
      <c r="H474" s="75"/>
      <c r="I474" s="75"/>
    </row>
    <row r="475" ht="14.25" customHeight="1">
      <c r="A475" s="106"/>
      <c r="B475" s="75"/>
      <c r="C475" s="75"/>
      <c r="D475" s="75"/>
      <c r="E475" s="75"/>
      <c r="F475" s="75"/>
      <c r="G475" s="75"/>
      <c r="H475" s="75"/>
      <c r="I475" s="75"/>
    </row>
    <row r="476" ht="14.25" customHeight="1">
      <c r="A476" s="106"/>
      <c r="B476" s="75"/>
      <c r="C476" s="75"/>
      <c r="D476" s="75"/>
      <c r="E476" s="75"/>
      <c r="F476" s="75"/>
      <c r="G476" s="75"/>
      <c r="H476" s="75"/>
      <c r="I476" s="75"/>
    </row>
    <row r="477" ht="14.25" customHeight="1">
      <c r="A477" s="106"/>
      <c r="B477" s="75"/>
      <c r="C477" s="75"/>
      <c r="D477" s="75"/>
      <c r="E477" s="75"/>
      <c r="F477" s="75"/>
      <c r="G477" s="75"/>
      <c r="H477" s="75"/>
      <c r="I477" s="75"/>
    </row>
    <row r="478" ht="14.25" customHeight="1">
      <c r="A478" s="106"/>
      <c r="B478" s="75"/>
      <c r="C478" s="75"/>
      <c r="D478" s="75"/>
      <c r="E478" s="75"/>
      <c r="F478" s="75"/>
      <c r="G478" s="75"/>
      <c r="H478" s="75"/>
      <c r="I478" s="75"/>
    </row>
    <row r="479" ht="14.25" customHeight="1">
      <c r="A479" s="106"/>
      <c r="B479" s="75"/>
      <c r="C479" s="75"/>
      <c r="D479" s="75"/>
      <c r="E479" s="75"/>
      <c r="F479" s="75"/>
      <c r="G479" s="75"/>
      <c r="H479" s="75"/>
      <c r="I479" s="75"/>
    </row>
    <row r="480" ht="14.25" customHeight="1">
      <c r="A480" s="106"/>
      <c r="B480" s="75"/>
      <c r="C480" s="75"/>
      <c r="D480" s="75"/>
      <c r="E480" s="75"/>
      <c r="F480" s="75"/>
      <c r="G480" s="75"/>
      <c r="H480" s="75"/>
      <c r="I480" s="75"/>
    </row>
    <row r="481" ht="14.25" customHeight="1">
      <c r="A481" s="106"/>
      <c r="B481" s="75"/>
      <c r="C481" s="75"/>
      <c r="D481" s="75"/>
      <c r="E481" s="75"/>
      <c r="F481" s="75"/>
      <c r="G481" s="75"/>
      <c r="H481" s="75"/>
      <c r="I481" s="75"/>
    </row>
    <row r="482" ht="14.25" customHeight="1">
      <c r="A482" s="106"/>
      <c r="B482" s="75"/>
      <c r="C482" s="75"/>
      <c r="D482" s="75"/>
      <c r="E482" s="75"/>
      <c r="F482" s="75"/>
      <c r="G482" s="75"/>
      <c r="H482" s="75"/>
      <c r="I482" s="75"/>
    </row>
    <row r="483" ht="14.25" customHeight="1">
      <c r="A483" s="106"/>
      <c r="B483" s="75"/>
      <c r="C483" s="75"/>
      <c r="D483" s="75"/>
      <c r="E483" s="75"/>
      <c r="F483" s="75"/>
      <c r="G483" s="75"/>
      <c r="H483" s="75"/>
      <c r="I483" s="75"/>
    </row>
    <row r="484" ht="14.25" customHeight="1">
      <c r="A484" s="106"/>
      <c r="B484" s="75"/>
      <c r="C484" s="75"/>
      <c r="D484" s="75"/>
      <c r="E484" s="75"/>
      <c r="F484" s="75"/>
      <c r="G484" s="75"/>
      <c r="H484" s="75"/>
      <c r="I484" s="75"/>
    </row>
    <row r="485" ht="14.25" customHeight="1">
      <c r="A485" s="106"/>
      <c r="B485" s="75"/>
      <c r="C485" s="75"/>
      <c r="D485" s="75"/>
      <c r="E485" s="75"/>
      <c r="F485" s="75"/>
      <c r="G485" s="75"/>
      <c r="H485" s="75"/>
      <c r="I485" s="75"/>
    </row>
    <row r="486" ht="14.25" customHeight="1">
      <c r="A486" s="106"/>
      <c r="B486" s="75"/>
      <c r="C486" s="75"/>
      <c r="D486" s="75"/>
      <c r="E486" s="75"/>
      <c r="F486" s="75"/>
      <c r="G486" s="75"/>
      <c r="H486" s="75"/>
      <c r="I486" s="75"/>
    </row>
    <row r="487" ht="14.25" customHeight="1">
      <c r="A487" s="106"/>
      <c r="B487" s="75"/>
      <c r="C487" s="75"/>
      <c r="D487" s="75"/>
      <c r="E487" s="75"/>
      <c r="F487" s="75"/>
      <c r="G487" s="75"/>
      <c r="H487" s="75"/>
      <c r="I487" s="75"/>
    </row>
    <row r="488" ht="14.25" customHeight="1">
      <c r="A488" s="106"/>
      <c r="B488" s="75"/>
      <c r="C488" s="75"/>
      <c r="D488" s="75"/>
      <c r="E488" s="75"/>
      <c r="F488" s="75"/>
      <c r="G488" s="75"/>
      <c r="H488" s="75"/>
      <c r="I488" s="75"/>
    </row>
    <row r="489" ht="14.25" customHeight="1">
      <c r="A489" s="106"/>
      <c r="B489" s="75"/>
      <c r="C489" s="75"/>
      <c r="D489" s="75"/>
      <c r="E489" s="75"/>
      <c r="F489" s="75"/>
      <c r="G489" s="75"/>
      <c r="H489" s="75"/>
      <c r="I489" s="75"/>
    </row>
    <row r="490" ht="14.25" customHeight="1">
      <c r="A490" s="106"/>
      <c r="B490" s="75"/>
      <c r="C490" s="75"/>
      <c r="D490" s="75"/>
      <c r="E490" s="75"/>
      <c r="F490" s="75"/>
      <c r="G490" s="75"/>
      <c r="H490" s="75"/>
      <c r="I490" s="75"/>
    </row>
    <row r="491" ht="14.25" customHeight="1">
      <c r="A491" s="106"/>
      <c r="B491" s="75"/>
      <c r="C491" s="75"/>
      <c r="D491" s="75"/>
      <c r="E491" s="75"/>
      <c r="F491" s="75"/>
      <c r="G491" s="75"/>
      <c r="H491" s="75"/>
      <c r="I491" s="75"/>
    </row>
    <row r="492" ht="14.25" customHeight="1">
      <c r="A492" s="106"/>
      <c r="B492" s="75"/>
      <c r="C492" s="75"/>
      <c r="D492" s="75"/>
      <c r="E492" s="75"/>
      <c r="F492" s="75"/>
      <c r="G492" s="75"/>
      <c r="H492" s="75"/>
      <c r="I492" s="75"/>
    </row>
    <row r="493" ht="14.25" customHeight="1">
      <c r="A493" s="106"/>
      <c r="B493" s="75"/>
      <c r="C493" s="75"/>
      <c r="D493" s="75"/>
      <c r="E493" s="75"/>
      <c r="F493" s="75"/>
      <c r="G493" s="75"/>
      <c r="H493" s="75"/>
      <c r="I493" s="75"/>
    </row>
    <row r="494" ht="14.25" customHeight="1">
      <c r="A494" s="106"/>
      <c r="B494" s="75"/>
      <c r="C494" s="75"/>
      <c r="D494" s="75"/>
      <c r="E494" s="75"/>
      <c r="F494" s="75"/>
      <c r="G494" s="75"/>
      <c r="H494" s="75"/>
      <c r="I494" s="75"/>
    </row>
    <row r="495" ht="14.25" customHeight="1">
      <c r="A495" s="106"/>
      <c r="B495" s="75"/>
      <c r="C495" s="75"/>
      <c r="D495" s="75"/>
      <c r="E495" s="75"/>
      <c r="F495" s="75"/>
      <c r="G495" s="75"/>
      <c r="H495" s="75"/>
      <c r="I495" s="75"/>
    </row>
    <row r="496" ht="14.25" customHeight="1">
      <c r="A496" s="106"/>
      <c r="B496" s="75"/>
      <c r="C496" s="75"/>
      <c r="D496" s="75"/>
      <c r="E496" s="75"/>
      <c r="F496" s="75"/>
      <c r="G496" s="75"/>
      <c r="H496" s="75"/>
      <c r="I496" s="75"/>
    </row>
    <row r="497" ht="14.25" customHeight="1">
      <c r="A497" s="106"/>
      <c r="B497" s="75"/>
      <c r="C497" s="75"/>
      <c r="D497" s="75"/>
      <c r="E497" s="75"/>
      <c r="F497" s="75"/>
      <c r="G497" s="75"/>
      <c r="H497" s="75"/>
      <c r="I497" s="75"/>
    </row>
    <row r="498" ht="14.25" customHeight="1">
      <c r="A498" s="106"/>
      <c r="B498" s="75"/>
      <c r="C498" s="75"/>
      <c r="D498" s="75"/>
      <c r="E498" s="75"/>
      <c r="F498" s="75"/>
      <c r="G498" s="75"/>
      <c r="H498" s="75"/>
      <c r="I498" s="75"/>
    </row>
    <row r="499" ht="14.25" customHeight="1">
      <c r="A499" s="106"/>
      <c r="B499" s="75"/>
      <c r="C499" s="75"/>
      <c r="D499" s="75"/>
      <c r="E499" s="75"/>
      <c r="F499" s="75"/>
      <c r="G499" s="75"/>
      <c r="H499" s="75"/>
      <c r="I499" s="75"/>
    </row>
    <row r="500" ht="14.25" customHeight="1">
      <c r="A500" s="106"/>
      <c r="B500" s="75"/>
      <c r="C500" s="75"/>
      <c r="D500" s="75"/>
      <c r="E500" s="75"/>
      <c r="F500" s="75"/>
      <c r="G500" s="75"/>
      <c r="H500" s="75"/>
      <c r="I500" s="75"/>
    </row>
    <row r="501" ht="14.25" customHeight="1">
      <c r="A501" s="106"/>
      <c r="B501" s="75"/>
      <c r="C501" s="75"/>
      <c r="D501" s="75"/>
      <c r="E501" s="75"/>
      <c r="F501" s="75"/>
      <c r="G501" s="75"/>
      <c r="H501" s="75"/>
      <c r="I501" s="75"/>
    </row>
    <row r="502" ht="14.25" customHeight="1">
      <c r="A502" s="106"/>
      <c r="B502" s="75"/>
      <c r="C502" s="75"/>
      <c r="D502" s="75"/>
      <c r="E502" s="75"/>
      <c r="F502" s="75"/>
      <c r="G502" s="75"/>
      <c r="H502" s="75"/>
      <c r="I502" s="75"/>
    </row>
    <row r="503" ht="14.25" customHeight="1">
      <c r="A503" s="106"/>
      <c r="B503" s="75"/>
      <c r="C503" s="75"/>
      <c r="D503" s="75"/>
      <c r="E503" s="75"/>
      <c r="F503" s="75"/>
      <c r="G503" s="75"/>
      <c r="H503" s="75"/>
      <c r="I503" s="75"/>
    </row>
    <row r="504" ht="14.25" customHeight="1">
      <c r="A504" s="106"/>
      <c r="B504" s="75"/>
      <c r="C504" s="75"/>
      <c r="D504" s="75"/>
      <c r="E504" s="75"/>
      <c r="F504" s="75"/>
      <c r="G504" s="75"/>
      <c r="H504" s="75"/>
      <c r="I504" s="75"/>
    </row>
    <row r="505" ht="14.25" customHeight="1">
      <c r="A505" s="106"/>
      <c r="B505" s="75"/>
      <c r="C505" s="75"/>
      <c r="D505" s="75"/>
      <c r="E505" s="75"/>
      <c r="F505" s="75"/>
      <c r="G505" s="75"/>
      <c r="H505" s="75"/>
      <c r="I505" s="75"/>
    </row>
    <row r="506" ht="14.25" customHeight="1">
      <c r="A506" s="106"/>
      <c r="B506" s="75"/>
      <c r="C506" s="75"/>
      <c r="D506" s="75"/>
      <c r="E506" s="75"/>
      <c r="F506" s="75"/>
      <c r="G506" s="75"/>
      <c r="H506" s="75"/>
      <c r="I506" s="75"/>
    </row>
    <row r="507" ht="14.25" customHeight="1">
      <c r="A507" s="106"/>
      <c r="B507" s="75"/>
      <c r="C507" s="75"/>
      <c r="D507" s="75"/>
      <c r="E507" s="75"/>
      <c r="F507" s="75"/>
      <c r="G507" s="75"/>
      <c r="H507" s="75"/>
      <c r="I507" s="75"/>
    </row>
    <row r="508" ht="14.25" customHeight="1">
      <c r="A508" s="106"/>
      <c r="B508" s="75"/>
      <c r="C508" s="75"/>
      <c r="D508" s="75"/>
      <c r="E508" s="75"/>
      <c r="F508" s="75"/>
      <c r="G508" s="75"/>
      <c r="H508" s="75"/>
      <c r="I508" s="75"/>
    </row>
    <row r="509" ht="14.25" customHeight="1">
      <c r="A509" s="106"/>
      <c r="B509" s="75"/>
      <c r="C509" s="75"/>
      <c r="D509" s="75"/>
      <c r="E509" s="75"/>
      <c r="F509" s="75"/>
      <c r="G509" s="75"/>
      <c r="H509" s="75"/>
      <c r="I509" s="75"/>
    </row>
    <row r="510" ht="14.25" customHeight="1">
      <c r="A510" s="106"/>
      <c r="B510" s="75"/>
      <c r="C510" s="75"/>
      <c r="D510" s="75"/>
      <c r="E510" s="75"/>
      <c r="F510" s="75"/>
      <c r="G510" s="75"/>
      <c r="H510" s="75"/>
      <c r="I510" s="75"/>
    </row>
    <row r="511" ht="14.25" customHeight="1">
      <c r="A511" s="106"/>
      <c r="B511" s="75"/>
      <c r="C511" s="75"/>
      <c r="D511" s="75"/>
      <c r="E511" s="75"/>
      <c r="F511" s="75"/>
      <c r="G511" s="75"/>
      <c r="H511" s="75"/>
      <c r="I511" s="75"/>
    </row>
    <row r="512" ht="14.25" customHeight="1">
      <c r="A512" s="106"/>
      <c r="B512" s="75"/>
      <c r="C512" s="75"/>
      <c r="D512" s="75"/>
      <c r="E512" s="75"/>
      <c r="F512" s="75"/>
      <c r="G512" s="75"/>
      <c r="H512" s="75"/>
      <c r="I512" s="75"/>
    </row>
    <row r="513" ht="14.25" customHeight="1">
      <c r="A513" s="106"/>
      <c r="B513" s="75"/>
      <c r="C513" s="75"/>
      <c r="D513" s="75"/>
      <c r="E513" s="75"/>
      <c r="F513" s="75"/>
      <c r="G513" s="75"/>
      <c r="H513" s="75"/>
      <c r="I513" s="75"/>
    </row>
    <row r="514" ht="14.25" customHeight="1">
      <c r="A514" s="106"/>
      <c r="B514" s="75"/>
      <c r="C514" s="75"/>
      <c r="D514" s="75"/>
      <c r="E514" s="75"/>
      <c r="F514" s="75"/>
      <c r="G514" s="75"/>
      <c r="H514" s="75"/>
      <c r="I514" s="75"/>
    </row>
    <row r="515" ht="14.25" customHeight="1">
      <c r="A515" s="106"/>
      <c r="B515" s="75"/>
      <c r="C515" s="75"/>
      <c r="D515" s="75"/>
      <c r="E515" s="75"/>
      <c r="F515" s="75"/>
      <c r="G515" s="75"/>
      <c r="H515" s="75"/>
      <c r="I515" s="75"/>
    </row>
    <row r="516" ht="14.25" customHeight="1">
      <c r="A516" s="106"/>
      <c r="B516" s="75"/>
      <c r="C516" s="75"/>
      <c r="D516" s="75"/>
      <c r="E516" s="75"/>
      <c r="F516" s="75"/>
      <c r="G516" s="75"/>
      <c r="H516" s="75"/>
      <c r="I516" s="75"/>
    </row>
    <row r="517" ht="14.25" customHeight="1">
      <c r="A517" s="106"/>
      <c r="B517" s="75"/>
      <c r="C517" s="75"/>
      <c r="D517" s="75"/>
      <c r="E517" s="75"/>
      <c r="F517" s="75"/>
      <c r="G517" s="75"/>
      <c r="H517" s="75"/>
      <c r="I517" s="75"/>
    </row>
    <row r="518" ht="14.25" customHeight="1">
      <c r="A518" s="106"/>
      <c r="B518" s="75"/>
      <c r="C518" s="75"/>
      <c r="D518" s="75"/>
      <c r="E518" s="75"/>
      <c r="F518" s="75"/>
      <c r="G518" s="75"/>
      <c r="H518" s="75"/>
      <c r="I518" s="75"/>
    </row>
    <row r="519" ht="14.25" customHeight="1">
      <c r="A519" s="106"/>
      <c r="B519" s="75"/>
      <c r="C519" s="75"/>
      <c r="D519" s="75"/>
      <c r="E519" s="75"/>
      <c r="F519" s="75"/>
      <c r="G519" s="75"/>
      <c r="H519" s="75"/>
      <c r="I519" s="75"/>
    </row>
    <row r="520" ht="14.25" customHeight="1">
      <c r="A520" s="106"/>
      <c r="B520" s="75"/>
      <c r="C520" s="75"/>
      <c r="D520" s="75"/>
      <c r="E520" s="75"/>
      <c r="F520" s="75"/>
      <c r="G520" s="75"/>
      <c r="H520" s="75"/>
      <c r="I520" s="75"/>
    </row>
    <row r="521" ht="14.25" customHeight="1">
      <c r="A521" s="106"/>
      <c r="B521" s="75"/>
      <c r="C521" s="75"/>
      <c r="D521" s="75"/>
      <c r="E521" s="75"/>
      <c r="F521" s="75"/>
      <c r="G521" s="75"/>
      <c r="H521" s="75"/>
      <c r="I521" s="75"/>
    </row>
    <row r="522" ht="14.25" customHeight="1">
      <c r="A522" s="106"/>
      <c r="B522" s="75"/>
      <c r="C522" s="75"/>
      <c r="D522" s="75"/>
      <c r="E522" s="75"/>
      <c r="F522" s="75"/>
      <c r="G522" s="75"/>
      <c r="H522" s="75"/>
      <c r="I522" s="75"/>
    </row>
    <row r="523" ht="14.25" customHeight="1">
      <c r="A523" s="106"/>
      <c r="B523" s="75"/>
      <c r="C523" s="75"/>
      <c r="D523" s="75"/>
      <c r="E523" s="75"/>
      <c r="F523" s="75"/>
      <c r="G523" s="75"/>
      <c r="H523" s="75"/>
      <c r="I523" s="75"/>
    </row>
    <row r="524" ht="14.25" customHeight="1">
      <c r="A524" s="106"/>
      <c r="B524" s="75"/>
      <c r="C524" s="75"/>
      <c r="D524" s="75"/>
      <c r="E524" s="75"/>
      <c r="F524" s="75"/>
      <c r="G524" s="75"/>
      <c r="H524" s="75"/>
      <c r="I524" s="75"/>
    </row>
    <row r="525" ht="14.25" customHeight="1">
      <c r="A525" s="106"/>
      <c r="B525" s="75"/>
      <c r="C525" s="75"/>
      <c r="D525" s="75"/>
      <c r="E525" s="75"/>
      <c r="F525" s="75"/>
      <c r="G525" s="75"/>
      <c r="H525" s="75"/>
      <c r="I525" s="75"/>
    </row>
    <row r="526" ht="14.25" customHeight="1">
      <c r="A526" s="106"/>
      <c r="B526" s="75"/>
      <c r="C526" s="75"/>
      <c r="D526" s="75"/>
      <c r="E526" s="75"/>
      <c r="F526" s="75"/>
      <c r="G526" s="75"/>
      <c r="H526" s="75"/>
      <c r="I526" s="75"/>
    </row>
    <row r="527" ht="14.25" customHeight="1">
      <c r="A527" s="106"/>
      <c r="B527" s="75"/>
      <c r="C527" s="75"/>
      <c r="D527" s="75"/>
      <c r="E527" s="75"/>
      <c r="F527" s="75"/>
      <c r="G527" s="75"/>
      <c r="H527" s="75"/>
      <c r="I527" s="75"/>
    </row>
    <row r="528" ht="14.25" customHeight="1">
      <c r="A528" s="106"/>
      <c r="B528" s="75"/>
      <c r="C528" s="75"/>
      <c r="D528" s="75"/>
      <c r="E528" s="75"/>
      <c r="F528" s="75"/>
      <c r="G528" s="75"/>
      <c r="H528" s="75"/>
      <c r="I528" s="75"/>
    </row>
    <row r="529" ht="14.25" customHeight="1">
      <c r="A529" s="106"/>
      <c r="B529" s="75"/>
      <c r="C529" s="75"/>
      <c r="D529" s="75"/>
      <c r="E529" s="75"/>
      <c r="F529" s="75"/>
      <c r="G529" s="75"/>
      <c r="H529" s="75"/>
      <c r="I529" s="75"/>
    </row>
    <row r="530" ht="14.25" customHeight="1">
      <c r="A530" s="106"/>
      <c r="B530" s="75"/>
      <c r="C530" s="75"/>
      <c r="D530" s="75"/>
      <c r="E530" s="75"/>
      <c r="F530" s="75"/>
      <c r="G530" s="75"/>
      <c r="H530" s="75"/>
      <c r="I530" s="75"/>
    </row>
    <row r="531" ht="14.25" customHeight="1">
      <c r="A531" s="106"/>
      <c r="B531" s="75"/>
      <c r="C531" s="75"/>
      <c r="D531" s="75"/>
      <c r="E531" s="75"/>
      <c r="F531" s="75"/>
      <c r="G531" s="75"/>
      <c r="H531" s="75"/>
      <c r="I531" s="75"/>
    </row>
    <row r="532" ht="14.25" customHeight="1">
      <c r="A532" s="106"/>
      <c r="B532" s="75"/>
      <c r="C532" s="75"/>
      <c r="D532" s="75"/>
      <c r="E532" s="75"/>
      <c r="F532" s="75"/>
      <c r="G532" s="75"/>
      <c r="H532" s="75"/>
      <c r="I532" s="75"/>
    </row>
    <row r="533" ht="14.25" customHeight="1">
      <c r="A533" s="106"/>
      <c r="B533" s="75"/>
      <c r="C533" s="75"/>
      <c r="D533" s="75"/>
      <c r="E533" s="75"/>
      <c r="F533" s="75"/>
      <c r="G533" s="75"/>
      <c r="H533" s="75"/>
      <c r="I533" s="75"/>
    </row>
    <row r="534" ht="14.25" customHeight="1">
      <c r="A534" s="106"/>
      <c r="B534" s="75"/>
      <c r="C534" s="75"/>
      <c r="D534" s="75"/>
      <c r="E534" s="75"/>
      <c r="F534" s="75"/>
      <c r="G534" s="75"/>
      <c r="H534" s="75"/>
      <c r="I534" s="75"/>
    </row>
    <row r="535" ht="14.25" customHeight="1">
      <c r="A535" s="106"/>
      <c r="B535" s="75"/>
      <c r="C535" s="75"/>
      <c r="D535" s="75"/>
      <c r="E535" s="75"/>
      <c r="F535" s="75"/>
      <c r="G535" s="75"/>
      <c r="H535" s="75"/>
      <c r="I535" s="75"/>
    </row>
    <row r="536" ht="14.25" customHeight="1">
      <c r="A536" s="106"/>
      <c r="B536" s="75"/>
      <c r="C536" s="75"/>
      <c r="D536" s="75"/>
      <c r="E536" s="75"/>
      <c r="F536" s="75"/>
      <c r="G536" s="75"/>
      <c r="H536" s="75"/>
      <c r="I536" s="75"/>
    </row>
    <row r="537" ht="14.25" customHeight="1">
      <c r="A537" s="106"/>
      <c r="B537" s="75"/>
      <c r="C537" s="75"/>
      <c r="D537" s="75"/>
      <c r="E537" s="75"/>
      <c r="F537" s="75"/>
      <c r="G537" s="75"/>
      <c r="H537" s="75"/>
      <c r="I537" s="75"/>
    </row>
    <row r="538" ht="14.25" customHeight="1">
      <c r="A538" s="106"/>
      <c r="B538" s="75"/>
      <c r="C538" s="75"/>
      <c r="D538" s="75"/>
      <c r="E538" s="75"/>
      <c r="F538" s="75"/>
      <c r="G538" s="75"/>
      <c r="H538" s="75"/>
      <c r="I538" s="75"/>
    </row>
    <row r="539" ht="14.25" customHeight="1">
      <c r="A539" s="106"/>
      <c r="B539" s="75"/>
      <c r="C539" s="75"/>
      <c r="D539" s="75"/>
      <c r="E539" s="75"/>
      <c r="F539" s="75"/>
      <c r="G539" s="75"/>
      <c r="H539" s="75"/>
      <c r="I539" s="75"/>
    </row>
    <row r="540" ht="14.25" customHeight="1">
      <c r="A540" s="106"/>
      <c r="B540" s="75"/>
      <c r="C540" s="75"/>
      <c r="D540" s="75"/>
      <c r="E540" s="75"/>
      <c r="F540" s="75"/>
      <c r="G540" s="75"/>
      <c r="H540" s="75"/>
      <c r="I540" s="75"/>
    </row>
    <row r="541" ht="14.25" customHeight="1">
      <c r="A541" s="106"/>
      <c r="B541" s="75"/>
      <c r="C541" s="75"/>
      <c r="D541" s="75"/>
      <c r="E541" s="75"/>
      <c r="F541" s="75"/>
      <c r="G541" s="75"/>
      <c r="H541" s="75"/>
      <c r="I541" s="75"/>
    </row>
    <row r="542" ht="14.25" customHeight="1">
      <c r="A542" s="106"/>
      <c r="B542" s="75"/>
      <c r="C542" s="75"/>
      <c r="D542" s="75"/>
      <c r="E542" s="75"/>
      <c r="F542" s="75"/>
      <c r="G542" s="75"/>
      <c r="H542" s="75"/>
      <c r="I542" s="75"/>
    </row>
    <row r="543" ht="14.25" customHeight="1">
      <c r="A543" s="106"/>
      <c r="B543" s="75"/>
      <c r="C543" s="75"/>
      <c r="D543" s="75"/>
      <c r="E543" s="75"/>
      <c r="F543" s="75"/>
      <c r="G543" s="75"/>
      <c r="H543" s="75"/>
      <c r="I543" s="75"/>
    </row>
    <row r="544" ht="14.25" customHeight="1">
      <c r="A544" s="106"/>
      <c r="B544" s="75"/>
      <c r="C544" s="75"/>
      <c r="D544" s="75"/>
      <c r="E544" s="75"/>
      <c r="F544" s="75"/>
      <c r="G544" s="75"/>
      <c r="H544" s="75"/>
      <c r="I544" s="75"/>
    </row>
    <row r="545" ht="14.25" customHeight="1">
      <c r="A545" s="106"/>
      <c r="B545" s="75"/>
      <c r="C545" s="75"/>
      <c r="D545" s="75"/>
      <c r="E545" s="75"/>
      <c r="F545" s="75"/>
      <c r="G545" s="75"/>
      <c r="H545" s="75"/>
      <c r="I545" s="75"/>
    </row>
    <row r="546" ht="14.25" customHeight="1">
      <c r="A546" s="106"/>
      <c r="B546" s="75"/>
      <c r="C546" s="75"/>
      <c r="D546" s="75"/>
      <c r="E546" s="75"/>
      <c r="F546" s="75"/>
      <c r="G546" s="75"/>
      <c r="H546" s="75"/>
      <c r="I546" s="75"/>
    </row>
    <row r="547" ht="14.25" customHeight="1">
      <c r="A547" s="106"/>
      <c r="B547" s="75"/>
      <c r="C547" s="75"/>
      <c r="D547" s="75"/>
      <c r="E547" s="75"/>
      <c r="F547" s="75"/>
      <c r="G547" s="75"/>
      <c r="H547" s="75"/>
      <c r="I547" s="75"/>
    </row>
    <row r="548" ht="14.25" customHeight="1">
      <c r="A548" s="106"/>
      <c r="B548" s="75"/>
      <c r="C548" s="75"/>
      <c r="D548" s="75"/>
      <c r="E548" s="75"/>
      <c r="F548" s="75"/>
      <c r="G548" s="75"/>
      <c r="H548" s="75"/>
      <c r="I548" s="75"/>
    </row>
    <row r="549" ht="14.25" customHeight="1">
      <c r="A549" s="106"/>
      <c r="B549" s="75"/>
      <c r="C549" s="75"/>
      <c r="D549" s="75"/>
      <c r="E549" s="75"/>
      <c r="F549" s="75"/>
      <c r="G549" s="75"/>
      <c r="H549" s="75"/>
      <c r="I549" s="75"/>
    </row>
    <row r="550" ht="14.25" customHeight="1">
      <c r="A550" s="106"/>
      <c r="B550" s="75"/>
      <c r="C550" s="75"/>
      <c r="D550" s="75"/>
      <c r="E550" s="75"/>
      <c r="F550" s="75"/>
      <c r="G550" s="75"/>
      <c r="H550" s="75"/>
      <c r="I550" s="75"/>
    </row>
    <row r="551" ht="14.25" customHeight="1">
      <c r="A551" s="106"/>
      <c r="B551" s="75"/>
      <c r="C551" s="75"/>
      <c r="D551" s="75"/>
      <c r="E551" s="75"/>
      <c r="F551" s="75"/>
      <c r="G551" s="75"/>
      <c r="H551" s="75"/>
      <c r="I551" s="75"/>
    </row>
    <row r="552" ht="14.25" customHeight="1">
      <c r="A552" s="106"/>
      <c r="B552" s="75"/>
      <c r="C552" s="75"/>
      <c r="D552" s="75"/>
      <c r="E552" s="75"/>
      <c r="F552" s="75"/>
      <c r="G552" s="75"/>
      <c r="H552" s="75"/>
      <c r="I552" s="75"/>
    </row>
    <row r="553" ht="14.25" customHeight="1">
      <c r="A553" s="106"/>
      <c r="B553" s="75"/>
      <c r="C553" s="75"/>
      <c r="D553" s="75"/>
      <c r="E553" s="75"/>
      <c r="F553" s="75"/>
      <c r="G553" s="75"/>
      <c r="H553" s="75"/>
      <c r="I553" s="75"/>
    </row>
    <row r="554" ht="14.25" customHeight="1">
      <c r="A554" s="106"/>
      <c r="B554" s="75"/>
      <c r="C554" s="75"/>
      <c r="D554" s="75"/>
      <c r="E554" s="75"/>
      <c r="F554" s="75"/>
      <c r="G554" s="75"/>
      <c r="H554" s="75"/>
      <c r="I554" s="75"/>
    </row>
    <row r="555" ht="14.25" customHeight="1">
      <c r="A555" s="106"/>
      <c r="B555" s="75"/>
      <c r="C555" s="75"/>
      <c r="D555" s="75"/>
      <c r="E555" s="75"/>
      <c r="F555" s="75"/>
      <c r="G555" s="75"/>
      <c r="H555" s="75"/>
      <c r="I555" s="75"/>
    </row>
    <row r="556" ht="14.25" customHeight="1">
      <c r="A556" s="106"/>
      <c r="B556" s="75"/>
      <c r="C556" s="75"/>
      <c r="D556" s="75"/>
      <c r="E556" s="75"/>
      <c r="F556" s="75"/>
      <c r="G556" s="75"/>
      <c r="H556" s="75"/>
      <c r="I556" s="75"/>
    </row>
    <row r="557" ht="14.25" customHeight="1">
      <c r="A557" s="106"/>
      <c r="B557" s="75"/>
      <c r="C557" s="75"/>
      <c r="D557" s="75"/>
      <c r="E557" s="75"/>
      <c r="F557" s="75"/>
      <c r="G557" s="75"/>
      <c r="H557" s="75"/>
      <c r="I557" s="75"/>
    </row>
    <row r="558" ht="14.25" customHeight="1">
      <c r="A558" s="106"/>
      <c r="B558" s="75"/>
      <c r="C558" s="75"/>
      <c r="D558" s="75"/>
      <c r="E558" s="75"/>
      <c r="F558" s="75"/>
      <c r="G558" s="75"/>
      <c r="H558" s="75"/>
      <c r="I558" s="75"/>
    </row>
    <row r="559" ht="14.25" customHeight="1">
      <c r="A559" s="106"/>
      <c r="B559" s="75"/>
      <c r="C559" s="75"/>
      <c r="D559" s="75"/>
      <c r="E559" s="75"/>
      <c r="F559" s="75"/>
      <c r="G559" s="75"/>
      <c r="H559" s="75"/>
      <c r="I559" s="75"/>
    </row>
    <row r="560" ht="14.25" customHeight="1">
      <c r="A560" s="106"/>
      <c r="B560" s="75"/>
      <c r="C560" s="75"/>
      <c r="D560" s="75"/>
      <c r="E560" s="75"/>
      <c r="F560" s="75"/>
      <c r="G560" s="75"/>
      <c r="H560" s="75"/>
      <c r="I560" s="75"/>
    </row>
    <row r="561" ht="14.25" customHeight="1">
      <c r="A561" s="106"/>
      <c r="B561" s="75"/>
      <c r="C561" s="75"/>
      <c r="D561" s="75"/>
      <c r="E561" s="75"/>
      <c r="F561" s="75"/>
      <c r="G561" s="75"/>
      <c r="H561" s="75"/>
      <c r="I561" s="75"/>
    </row>
    <row r="562" ht="14.25" customHeight="1">
      <c r="A562" s="106"/>
      <c r="B562" s="75"/>
      <c r="C562" s="75"/>
      <c r="D562" s="75"/>
      <c r="E562" s="75"/>
      <c r="F562" s="75"/>
      <c r="G562" s="75"/>
      <c r="H562" s="75"/>
      <c r="I562" s="75"/>
    </row>
    <row r="563" ht="14.25" customHeight="1">
      <c r="A563" s="106"/>
      <c r="B563" s="75"/>
      <c r="C563" s="75"/>
      <c r="D563" s="75"/>
      <c r="E563" s="75"/>
      <c r="F563" s="75"/>
      <c r="G563" s="75"/>
      <c r="H563" s="75"/>
      <c r="I563" s="75"/>
    </row>
    <row r="564" ht="14.25" customHeight="1">
      <c r="A564" s="106"/>
      <c r="B564" s="75"/>
      <c r="C564" s="75"/>
      <c r="D564" s="75"/>
      <c r="E564" s="75"/>
      <c r="F564" s="75"/>
      <c r="G564" s="75"/>
      <c r="H564" s="75"/>
      <c r="I564" s="75"/>
    </row>
    <row r="565" ht="14.25" customHeight="1">
      <c r="A565" s="106"/>
      <c r="B565" s="75"/>
      <c r="C565" s="75"/>
      <c r="D565" s="75"/>
      <c r="E565" s="75"/>
      <c r="F565" s="75"/>
      <c r="G565" s="75"/>
      <c r="H565" s="75"/>
      <c r="I565" s="75"/>
    </row>
    <row r="566" ht="14.25" customHeight="1">
      <c r="A566" s="106"/>
      <c r="B566" s="75"/>
      <c r="C566" s="75"/>
      <c r="D566" s="75"/>
      <c r="E566" s="75"/>
      <c r="F566" s="75"/>
      <c r="G566" s="75"/>
      <c r="H566" s="75"/>
      <c r="I566" s="75"/>
    </row>
    <row r="567" ht="14.25" customHeight="1">
      <c r="A567" s="106"/>
      <c r="B567" s="75"/>
      <c r="C567" s="75"/>
      <c r="D567" s="75"/>
      <c r="E567" s="75"/>
      <c r="F567" s="75"/>
      <c r="G567" s="75"/>
      <c r="H567" s="75"/>
      <c r="I567" s="75"/>
    </row>
    <row r="568" ht="14.25" customHeight="1">
      <c r="A568" s="106"/>
      <c r="B568" s="75"/>
      <c r="C568" s="75"/>
      <c r="D568" s="75"/>
      <c r="E568" s="75"/>
      <c r="F568" s="75"/>
      <c r="G568" s="75"/>
      <c r="H568" s="75"/>
      <c r="I568" s="75"/>
    </row>
    <row r="569" ht="14.25" customHeight="1">
      <c r="A569" s="106"/>
      <c r="B569" s="75"/>
      <c r="C569" s="75"/>
      <c r="D569" s="75"/>
      <c r="E569" s="75"/>
      <c r="F569" s="75"/>
      <c r="G569" s="75"/>
      <c r="H569" s="75"/>
      <c r="I569" s="75"/>
    </row>
    <row r="570" ht="14.25" customHeight="1">
      <c r="A570" s="106"/>
      <c r="B570" s="75"/>
      <c r="C570" s="75"/>
      <c r="D570" s="75"/>
      <c r="E570" s="75"/>
      <c r="F570" s="75"/>
      <c r="G570" s="75"/>
      <c r="H570" s="75"/>
      <c r="I570" s="75"/>
    </row>
    <row r="571" ht="14.25" customHeight="1">
      <c r="A571" s="106"/>
      <c r="B571" s="75"/>
      <c r="C571" s="75"/>
      <c r="D571" s="75"/>
      <c r="E571" s="75"/>
      <c r="F571" s="75"/>
      <c r="G571" s="75"/>
      <c r="H571" s="75"/>
      <c r="I571" s="75"/>
    </row>
    <row r="572" ht="14.25" customHeight="1">
      <c r="A572" s="106"/>
      <c r="B572" s="75"/>
      <c r="C572" s="75"/>
      <c r="D572" s="75"/>
      <c r="E572" s="75"/>
      <c r="F572" s="75"/>
      <c r="G572" s="75"/>
      <c r="H572" s="75"/>
      <c r="I572" s="75"/>
    </row>
    <row r="573" ht="14.25" customHeight="1">
      <c r="A573" s="106"/>
      <c r="B573" s="75"/>
      <c r="C573" s="75"/>
      <c r="D573" s="75"/>
      <c r="E573" s="75"/>
      <c r="F573" s="75"/>
      <c r="G573" s="75"/>
      <c r="H573" s="75"/>
      <c r="I573" s="75"/>
    </row>
    <row r="574" ht="14.25" customHeight="1">
      <c r="A574" s="106"/>
      <c r="B574" s="75"/>
      <c r="C574" s="75"/>
      <c r="D574" s="75"/>
      <c r="E574" s="75"/>
      <c r="F574" s="75"/>
      <c r="G574" s="75"/>
      <c r="H574" s="75"/>
      <c r="I574" s="75"/>
    </row>
    <row r="575" ht="14.25" customHeight="1">
      <c r="A575" s="106"/>
      <c r="B575" s="75"/>
      <c r="C575" s="75"/>
      <c r="D575" s="75"/>
      <c r="E575" s="75"/>
      <c r="F575" s="75"/>
      <c r="G575" s="75"/>
      <c r="H575" s="75"/>
      <c r="I575" s="75"/>
    </row>
    <row r="576" ht="14.25" customHeight="1">
      <c r="A576" s="106"/>
      <c r="B576" s="75"/>
      <c r="C576" s="75"/>
      <c r="D576" s="75"/>
      <c r="E576" s="75"/>
      <c r="F576" s="75"/>
      <c r="G576" s="75"/>
      <c r="H576" s="75"/>
      <c r="I576" s="75"/>
    </row>
    <row r="577" ht="14.25" customHeight="1">
      <c r="A577" s="106"/>
      <c r="B577" s="75"/>
      <c r="C577" s="75"/>
      <c r="D577" s="75"/>
      <c r="E577" s="75"/>
      <c r="F577" s="75"/>
      <c r="G577" s="75"/>
      <c r="H577" s="75"/>
      <c r="I577" s="75"/>
    </row>
    <row r="578" ht="14.25" customHeight="1">
      <c r="A578" s="106"/>
      <c r="B578" s="75"/>
      <c r="C578" s="75"/>
      <c r="D578" s="75"/>
      <c r="E578" s="75"/>
      <c r="F578" s="75"/>
      <c r="G578" s="75"/>
      <c r="H578" s="75"/>
      <c r="I578" s="75"/>
    </row>
    <row r="579" ht="14.25" customHeight="1">
      <c r="A579" s="106"/>
      <c r="B579" s="75"/>
      <c r="C579" s="75"/>
      <c r="D579" s="75"/>
      <c r="E579" s="75"/>
      <c r="F579" s="75"/>
      <c r="G579" s="75"/>
      <c r="H579" s="75"/>
      <c r="I579" s="75"/>
    </row>
    <row r="580" ht="14.25" customHeight="1">
      <c r="A580" s="106"/>
      <c r="B580" s="75"/>
      <c r="C580" s="75"/>
      <c r="D580" s="75"/>
      <c r="E580" s="75"/>
      <c r="F580" s="75"/>
      <c r="G580" s="75"/>
      <c r="H580" s="75"/>
      <c r="I580" s="75"/>
    </row>
    <row r="581" ht="14.25" customHeight="1">
      <c r="A581" s="106"/>
      <c r="B581" s="75"/>
      <c r="C581" s="75"/>
      <c r="D581" s="75"/>
      <c r="E581" s="75"/>
      <c r="F581" s="75"/>
      <c r="G581" s="75"/>
      <c r="H581" s="75"/>
      <c r="I581" s="75"/>
    </row>
    <row r="582" ht="14.25" customHeight="1">
      <c r="A582" s="106"/>
      <c r="B582" s="75"/>
      <c r="C582" s="75"/>
      <c r="D582" s="75"/>
      <c r="E582" s="75"/>
      <c r="F582" s="75"/>
      <c r="G582" s="75"/>
      <c r="H582" s="75"/>
      <c r="I582" s="75"/>
    </row>
    <row r="583" ht="14.25" customHeight="1">
      <c r="A583" s="106"/>
      <c r="B583" s="75"/>
      <c r="C583" s="75"/>
      <c r="D583" s="75"/>
      <c r="E583" s="75"/>
      <c r="F583" s="75"/>
      <c r="G583" s="75"/>
      <c r="H583" s="75"/>
      <c r="I583" s="75"/>
    </row>
    <row r="584" ht="14.25" customHeight="1">
      <c r="A584" s="106"/>
      <c r="B584" s="75"/>
      <c r="C584" s="75"/>
      <c r="D584" s="75"/>
      <c r="E584" s="75"/>
      <c r="F584" s="75"/>
      <c r="G584" s="75"/>
      <c r="H584" s="75"/>
      <c r="I584" s="75"/>
    </row>
    <row r="585" ht="14.25" customHeight="1">
      <c r="A585" s="106"/>
      <c r="B585" s="75"/>
      <c r="C585" s="75"/>
      <c r="D585" s="75"/>
      <c r="E585" s="75"/>
      <c r="F585" s="75"/>
      <c r="G585" s="75"/>
      <c r="H585" s="75"/>
      <c r="I585" s="75"/>
    </row>
    <row r="586" ht="14.25" customHeight="1">
      <c r="A586" s="106"/>
      <c r="B586" s="75"/>
      <c r="C586" s="75"/>
      <c r="D586" s="75"/>
      <c r="E586" s="75"/>
      <c r="F586" s="75"/>
      <c r="G586" s="75"/>
      <c r="H586" s="75"/>
      <c r="I586" s="75"/>
    </row>
    <row r="587" ht="14.25" customHeight="1">
      <c r="A587" s="106"/>
      <c r="B587" s="75"/>
      <c r="C587" s="75"/>
      <c r="D587" s="75"/>
      <c r="E587" s="75"/>
      <c r="F587" s="75"/>
      <c r="G587" s="75"/>
      <c r="H587" s="75"/>
      <c r="I587" s="75"/>
    </row>
    <row r="588" ht="14.25" customHeight="1">
      <c r="A588" s="106"/>
      <c r="B588" s="75"/>
      <c r="C588" s="75"/>
      <c r="D588" s="75"/>
      <c r="E588" s="75"/>
      <c r="F588" s="75"/>
      <c r="G588" s="75"/>
      <c r="H588" s="75"/>
      <c r="I588" s="75"/>
    </row>
    <row r="589" ht="14.25" customHeight="1">
      <c r="A589" s="106"/>
      <c r="B589" s="75"/>
      <c r="C589" s="75"/>
      <c r="D589" s="75"/>
      <c r="E589" s="75"/>
      <c r="F589" s="75"/>
      <c r="G589" s="75"/>
      <c r="H589" s="75"/>
      <c r="I589" s="75"/>
    </row>
    <row r="590" ht="14.25" customHeight="1">
      <c r="A590" s="106"/>
      <c r="B590" s="75"/>
      <c r="C590" s="75"/>
      <c r="D590" s="75"/>
      <c r="E590" s="75"/>
      <c r="F590" s="75"/>
      <c r="G590" s="75"/>
      <c r="H590" s="75"/>
      <c r="I590" s="75"/>
    </row>
    <row r="591" ht="14.25" customHeight="1">
      <c r="A591" s="106"/>
      <c r="B591" s="75"/>
      <c r="C591" s="75"/>
      <c r="D591" s="75"/>
      <c r="E591" s="75"/>
      <c r="F591" s="75"/>
      <c r="G591" s="75"/>
      <c r="H591" s="75"/>
      <c r="I591" s="75"/>
    </row>
    <row r="592" ht="14.25" customHeight="1">
      <c r="A592" s="106"/>
      <c r="B592" s="75"/>
      <c r="C592" s="75"/>
      <c r="D592" s="75"/>
      <c r="E592" s="75"/>
      <c r="F592" s="75"/>
      <c r="G592" s="75"/>
      <c r="H592" s="75"/>
      <c r="I592" s="75"/>
    </row>
    <row r="593" ht="14.25" customHeight="1">
      <c r="A593" s="106"/>
      <c r="B593" s="75"/>
      <c r="C593" s="75"/>
      <c r="D593" s="75"/>
      <c r="E593" s="75"/>
      <c r="F593" s="75"/>
      <c r="G593" s="75"/>
      <c r="H593" s="75"/>
      <c r="I593" s="75"/>
    </row>
    <row r="594" ht="14.25" customHeight="1">
      <c r="A594" s="106"/>
      <c r="B594" s="75"/>
      <c r="C594" s="75"/>
      <c r="D594" s="75"/>
      <c r="E594" s="75"/>
      <c r="F594" s="75"/>
      <c r="G594" s="75"/>
      <c r="H594" s="75"/>
      <c r="I594" s="75"/>
    </row>
    <row r="595" ht="14.25" customHeight="1">
      <c r="A595" s="106"/>
      <c r="B595" s="75"/>
      <c r="C595" s="75"/>
      <c r="D595" s="75"/>
      <c r="E595" s="75"/>
      <c r="F595" s="75"/>
      <c r="G595" s="75"/>
      <c r="H595" s="75"/>
      <c r="I595" s="75"/>
    </row>
    <row r="596" ht="14.25" customHeight="1">
      <c r="A596" s="106"/>
      <c r="B596" s="75"/>
      <c r="C596" s="75"/>
      <c r="D596" s="75"/>
      <c r="E596" s="75"/>
      <c r="F596" s="75"/>
      <c r="G596" s="75"/>
      <c r="H596" s="75"/>
      <c r="I596" s="75"/>
    </row>
    <row r="597" ht="14.25" customHeight="1">
      <c r="A597" s="106"/>
      <c r="B597" s="75"/>
      <c r="C597" s="75"/>
      <c r="D597" s="75"/>
      <c r="E597" s="75"/>
      <c r="F597" s="75"/>
      <c r="G597" s="75"/>
      <c r="H597" s="75"/>
      <c r="I597" s="75"/>
    </row>
    <row r="598" ht="14.25" customHeight="1">
      <c r="A598" s="106"/>
      <c r="B598" s="75"/>
      <c r="C598" s="75"/>
      <c r="D598" s="75"/>
      <c r="E598" s="75"/>
      <c r="F598" s="75"/>
      <c r="G598" s="75"/>
      <c r="H598" s="75"/>
      <c r="I598" s="75"/>
    </row>
    <row r="599" ht="14.25" customHeight="1">
      <c r="A599" s="106"/>
      <c r="B599" s="75"/>
      <c r="C599" s="75"/>
      <c r="D599" s="75"/>
      <c r="E599" s="75"/>
      <c r="F599" s="75"/>
      <c r="G599" s="75"/>
      <c r="H599" s="75"/>
      <c r="I599" s="75"/>
    </row>
    <row r="600" ht="14.25" customHeight="1">
      <c r="A600" s="106"/>
      <c r="B600" s="75"/>
      <c r="C600" s="75"/>
      <c r="D600" s="75"/>
      <c r="E600" s="75"/>
      <c r="F600" s="75"/>
      <c r="G600" s="75"/>
      <c r="H600" s="75"/>
      <c r="I600" s="75"/>
    </row>
    <row r="601" ht="14.25" customHeight="1">
      <c r="A601" s="106"/>
      <c r="B601" s="75"/>
      <c r="C601" s="75"/>
      <c r="D601" s="75"/>
      <c r="E601" s="75"/>
      <c r="F601" s="75"/>
      <c r="G601" s="75"/>
      <c r="H601" s="75"/>
      <c r="I601" s="75"/>
    </row>
    <row r="602" ht="14.25" customHeight="1">
      <c r="A602" s="106"/>
      <c r="B602" s="75"/>
      <c r="C602" s="75"/>
      <c r="D602" s="75"/>
      <c r="E602" s="75"/>
      <c r="F602" s="75"/>
      <c r="G602" s="75"/>
      <c r="H602" s="75"/>
      <c r="I602" s="75"/>
    </row>
    <row r="603" ht="14.25" customHeight="1">
      <c r="A603" s="106"/>
      <c r="B603" s="75"/>
      <c r="C603" s="75"/>
      <c r="D603" s="75"/>
      <c r="E603" s="75"/>
      <c r="F603" s="75"/>
      <c r="G603" s="75"/>
      <c r="H603" s="75"/>
      <c r="I603" s="75"/>
    </row>
    <row r="604" ht="14.25" customHeight="1">
      <c r="A604" s="106"/>
      <c r="B604" s="75"/>
      <c r="C604" s="75"/>
      <c r="D604" s="75"/>
      <c r="E604" s="75"/>
      <c r="F604" s="75"/>
      <c r="G604" s="75"/>
      <c r="H604" s="75"/>
      <c r="I604" s="75"/>
    </row>
    <row r="605" ht="14.25" customHeight="1">
      <c r="A605" s="106"/>
      <c r="B605" s="75"/>
      <c r="C605" s="75"/>
      <c r="D605" s="75"/>
      <c r="E605" s="75"/>
      <c r="F605" s="75"/>
      <c r="G605" s="75"/>
      <c r="H605" s="75"/>
      <c r="I605" s="75"/>
    </row>
    <row r="606" ht="14.25" customHeight="1">
      <c r="A606" s="106"/>
      <c r="B606" s="75"/>
      <c r="C606" s="75"/>
      <c r="D606" s="75"/>
      <c r="E606" s="75"/>
      <c r="F606" s="75"/>
      <c r="G606" s="75"/>
      <c r="H606" s="75"/>
      <c r="I606" s="75"/>
    </row>
    <row r="607" ht="14.25" customHeight="1">
      <c r="A607" s="106"/>
      <c r="B607" s="75"/>
      <c r="C607" s="75"/>
      <c r="D607" s="75"/>
      <c r="E607" s="75"/>
      <c r="F607" s="75"/>
      <c r="G607" s="75"/>
      <c r="H607" s="75"/>
      <c r="I607" s="75"/>
    </row>
    <row r="608" ht="14.25" customHeight="1">
      <c r="A608" s="106"/>
      <c r="B608" s="75"/>
      <c r="C608" s="75"/>
      <c r="D608" s="75"/>
      <c r="E608" s="75"/>
      <c r="F608" s="75"/>
      <c r="G608" s="75"/>
      <c r="H608" s="75"/>
      <c r="I608" s="75"/>
    </row>
    <row r="609" ht="14.25" customHeight="1">
      <c r="A609" s="106"/>
      <c r="B609" s="75"/>
      <c r="C609" s="75"/>
      <c r="D609" s="75"/>
      <c r="E609" s="75"/>
      <c r="F609" s="75"/>
      <c r="G609" s="75"/>
      <c r="H609" s="75"/>
      <c r="I609" s="75"/>
    </row>
    <row r="610" ht="14.25" customHeight="1">
      <c r="A610" s="106"/>
      <c r="B610" s="75"/>
      <c r="C610" s="75"/>
      <c r="D610" s="75"/>
      <c r="E610" s="75"/>
      <c r="F610" s="75"/>
      <c r="G610" s="75"/>
      <c r="H610" s="75"/>
      <c r="I610" s="75"/>
    </row>
    <row r="611" ht="14.25" customHeight="1">
      <c r="A611" s="106"/>
      <c r="B611" s="75"/>
      <c r="C611" s="75"/>
      <c r="D611" s="75"/>
      <c r="E611" s="75"/>
      <c r="F611" s="75"/>
      <c r="G611" s="75"/>
      <c r="H611" s="75"/>
      <c r="I611" s="75"/>
    </row>
    <row r="612" ht="14.25" customHeight="1">
      <c r="A612" s="106"/>
      <c r="B612" s="75"/>
      <c r="C612" s="75"/>
      <c r="D612" s="75"/>
      <c r="E612" s="75"/>
      <c r="F612" s="75"/>
      <c r="G612" s="75"/>
      <c r="H612" s="75"/>
      <c r="I612" s="75"/>
    </row>
    <row r="613" ht="14.25" customHeight="1">
      <c r="A613" s="106"/>
      <c r="B613" s="75"/>
      <c r="C613" s="75"/>
      <c r="D613" s="75"/>
      <c r="E613" s="75"/>
      <c r="F613" s="75"/>
      <c r="G613" s="75"/>
      <c r="H613" s="75"/>
      <c r="I613" s="75"/>
    </row>
    <row r="614" ht="14.25" customHeight="1">
      <c r="A614" s="106"/>
      <c r="B614" s="75"/>
      <c r="C614" s="75"/>
      <c r="D614" s="75"/>
      <c r="E614" s="75"/>
      <c r="F614" s="75"/>
      <c r="G614" s="75"/>
      <c r="H614" s="75"/>
      <c r="I614" s="75"/>
    </row>
    <row r="615" ht="14.25" customHeight="1">
      <c r="A615" s="106"/>
      <c r="B615" s="75"/>
      <c r="C615" s="75"/>
      <c r="D615" s="75"/>
      <c r="E615" s="75"/>
      <c r="F615" s="75"/>
      <c r="G615" s="75"/>
      <c r="H615" s="75"/>
      <c r="I615" s="75"/>
    </row>
    <row r="616" ht="14.25" customHeight="1">
      <c r="A616" s="106"/>
      <c r="B616" s="75"/>
      <c r="C616" s="75"/>
      <c r="D616" s="75"/>
      <c r="E616" s="75"/>
      <c r="F616" s="75"/>
      <c r="G616" s="75"/>
      <c r="H616" s="75"/>
      <c r="I616" s="75"/>
    </row>
    <row r="617" ht="14.25" customHeight="1">
      <c r="A617" s="106"/>
      <c r="B617" s="75"/>
      <c r="C617" s="75"/>
      <c r="D617" s="75"/>
      <c r="E617" s="75"/>
      <c r="F617" s="75"/>
      <c r="G617" s="75"/>
      <c r="H617" s="75"/>
      <c r="I617" s="75"/>
    </row>
    <row r="618" ht="14.25" customHeight="1">
      <c r="A618" s="106"/>
      <c r="B618" s="75"/>
      <c r="C618" s="75"/>
      <c r="D618" s="75"/>
      <c r="E618" s="75"/>
      <c r="F618" s="75"/>
      <c r="G618" s="75"/>
      <c r="H618" s="75"/>
      <c r="I618" s="75"/>
    </row>
    <row r="619" ht="14.25" customHeight="1">
      <c r="A619" s="106"/>
      <c r="B619" s="75"/>
      <c r="C619" s="75"/>
      <c r="D619" s="75"/>
      <c r="E619" s="75"/>
      <c r="F619" s="75"/>
      <c r="G619" s="75"/>
      <c r="H619" s="75"/>
      <c r="I619" s="75"/>
    </row>
    <row r="620" ht="14.25" customHeight="1">
      <c r="A620" s="106"/>
      <c r="B620" s="75"/>
      <c r="C620" s="75"/>
      <c r="D620" s="75"/>
      <c r="E620" s="75"/>
      <c r="F620" s="75"/>
      <c r="G620" s="75"/>
      <c r="H620" s="75"/>
      <c r="I620" s="75"/>
    </row>
    <row r="621" ht="14.25" customHeight="1">
      <c r="A621" s="106"/>
      <c r="B621" s="75"/>
      <c r="C621" s="75"/>
      <c r="D621" s="75"/>
      <c r="E621" s="75"/>
      <c r="F621" s="75"/>
      <c r="G621" s="75"/>
      <c r="H621" s="75"/>
      <c r="I621" s="75"/>
    </row>
    <row r="622" ht="14.25" customHeight="1">
      <c r="A622" s="106"/>
      <c r="B622" s="75"/>
      <c r="C622" s="75"/>
      <c r="D622" s="75"/>
      <c r="E622" s="75"/>
      <c r="F622" s="75"/>
      <c r="G622" s="75"/>
      <c r="H622" s="75"/>
      <c r="I622" s="75"/>
    </row>
    <row r="623" ht="14.25" customHeight="1">
      <c r="A623" s="106"/>
      <c r="B623" s="75"/>
      <c r="C623" s="75"/>
      <c r="D623" s="75"/>
      <c r="E623" s="75"/>
      <c r="F623" s="75"/>
      <c r="G623" s="75"/>
      <c r="H623" s="75"/>
      <c r="I623" s="75"/>
    </row>
    <row r="624" ht="14.25" customHeight="1">
      <c r="A624" s="106"/>
      <c r="B624" s="75"/>
      <c r="C624" s="75"/>
      <c r="D624" s="75"/>
      <c r="E624" s="75"/>
      <c r="F624" s="75"/>
      <c r="G624" s="75"/>
      <c r="H624" s="75"/>
      <c r="I624" s="75"/>
    </row>
    <row r="625" ht="14.25" customHeight="1">
      <c r="A625" s="106"/>
      <c r="B625" s="75"/>
      <c r="C625" s="75"/>
      <c r="D625" s="75"/>
      <c r="E625" s="75"/>
      <c r="F625" s="75"/>
      <c r="G625" s="75"/>
      <c r="H625" s="75"/>
      <c r="I625" s="75"/>
    </row>
    <row r="626" ht="14.25" customHeight="1">
      <c r="A626" s="106"/>
      <c r="B626" s="75"/>
      <c r="C626" s="75"/>
      <c r="D626" s="75"/>
      <c r="E626" s="75"/>
      <c r="F626" s="75"/>
      <c r="G626" s="75"/>
      <c r="H626" s="75"/>
      <c r="I626" s="75"/>
    </row>
    <row r="627" ht="14.25" customHeight="1">
      <c r="A627" s="106"/>
      <c r="B627" s="75"/>
      <c r="C627" s="75"/>
      <c r="D627" s="75"/>
      <c r="E627" s="75"/>
      <c r="F627" s="75"/>
      <c r="G627" s="75"/>
      <c r="H627" s="75"/>
      <c r="I627" s="75"/>
    </row>
    <row r="628" ht="14.25" customHeight="1">
      <c r="A628" s="106"/>
      <c r="B628" s="75"/>
      <c r="C628" s="75"/>
      <c r="D628" s="75"/>
      <c r="E628" s="75"/>
      <c r="F628" s="75"/>
      <c r="G628" s="75"/>
      <c r="H628" s="75"/>
      <c r="I628" s="75"/>
    </row>
    <row r="629" ht="14.25" customHeight="1">
      <c r="A629" s="106"/>
      <c r="B629" s="75"/>
      <c r="C629" s="75"/>
      <c r="D629" s="75"/>
      <c r="E629" s="75"/>
      <c r="F629" s="75"/>
      <c r="G629" s="75"/>
      <c r="H629" s="75"/>
      <c r="I629" s="75"/>
    </row>
    <row r="630" ht="14.25" customHeight="1">
      <c r="A630" s="106"/>
      <c r="B630" s="75"/>
      <c r="C630" s="75"/>
      <c r="D630" s="75"/>
      <c r="E630" s="75"/>
      <c r="F630" s="75"/>
      <c r="G630" s="75"/>
      <c r="H630" s="75"/>
      <c r="I630" s="75"/>
    </row>
    <row r="631" ht="14.25" customHeight="1">
      <c r="A631" s="106"/>
      <c r="B631" s="75"/>
      <c r="C631" s="75"/>
      <c r="D631" s="75"/>
      <c r="E631" s="75"/>
      <c r="F631" s="75"/>
      <c r="G631" s="75"/>
      <c r="H631" s="75"/>
      <c r="I631" s="75"/>
    </row>
    <row r="632" ht="14.25" customHeight="1">
      <c r="A632" s="106"/>
      <c r="B632" s="75"/>
      <c r="C632" s="75"/>
      <c r="D632" s="75"/>
      <c r="E632" s="75"/>
      <c r="F632" s="75"/>
      <c r="G632" s="75"/>
      <c r="H632" s="75"/>
      <c r="I632" s="75"/>
    </row>
    <row r="633" ht="14.25" customHeight="1">
      <c r="A633" s="106"/>
      <c r="B633" s="75"/>
      <c r="C633" s="75"/>
      <c r="D633" s="75"/>
      <c r="E633" s="75"/>
      <c r="F633" s="75"/>
      <c r="G633" s="75"/>
      <c r="H633" s="75"/>
      <c r="I633" s="75"/>
    </row>
    <row r="634" ht="14.25" customHeight="1">
      <c r="A634" s="106"/>
      <c r="B634" s="75"/>
      <c r="C634" s="75"/>
      <c r="D634" s="75"/>
      <c r="E634" s="75"/>
      <c r="F634" s="75"/>
      <c r="G634" s="75"/>
      <c r="H634" s="75"/>
      <c r="I634" s="75"/>
    </row>
    <row r="635" ht="14.25" customHeight="1">
      <c r="A635" s="106"/>
      <c r="B635" s="75"/>
      <c r="C635" s="75"/>
      <c r="D635" s="75"/>
      <c r="E635" s="75"/>
      <c r="F635" s="75"/>
      <c r="G635" s="75"/>
      <c r="H635" s="75"/>
      <c r="I635" s="75"/>
    </row>
    <row r="636" ht="14.25" customHeight="1">
      <c r="A636" s="106"/>
      <c r="B636" s="75"/>
      <c r="C636" s="75"/>
      <c r="D636" s="75"/>
      <c r="E636" s="75"/>
      <c r="F636" s="75"/>
      <c r="G636" s="75"/>
      <c r="H636" s="75"/>
      <c r="I636" s="75"/>
    </row>
    <row r="637" ht="14.25" customHeight="1">
      <c r="A637" s="106"/>
      <c r="B637" s="75"/>
      <c r="C637" s="75"/>
      <c r="D637" s="75"/>
      <c r="E637" s="75"/>
      <c r="F637" s="75"/>
      <c r="G637" s="75"/>
      <c r="H637" s="75"/>
      <c r="I637" s="75"/>
    </row>
    <row r="638" ht="14.25" customHeight="1">
      <c r="A638" s="106"/>
      <c r="B638" s="75"/>
      <c r="C638" s="75"/>
      <c r="D638" s="75"/>
      <c r="E638" s="75"/>
      <c r="F638" s="75"/>
      <c r="G638" s="75"/>
      <c r="H638" s="75"/>
      <c r="I638" s="75"/>
    </row>
    <row r="639" ht="14.25" customHeight="1">
      <c r="A639" s="106"/>
      <c r="B639" s="75"/>
      <c r="C639" s="75"/>
      <c r="D639" s="75"/>
      <c r="E639" s="75"/>
      <c r="F639" s="75"/>
      <c r="G639" s="75"/>
      <c r="H639" s="75"/>
      <c r="I639" s="75"/>
    </row>
    <row r="640" ht="14.25" customHeight="1">
      <c r="A640" s="106"/>
      <c r="B640" s="75"/>
      <c r="C640" s="75"/>
      <c r="D640" s="75"/>
      <c r="E640" s="75"/>
      <c r="F640" s="75"/>
      <c r="G640" s="75"/>
      <c r="H640" s="75"/>
      <c r="I640" s="75"/>
    </row>
    <row r="641" ht="14.25" customHeight="1">
      <c r="A641" s="106"/>
      <c r="B641" s="75"/>
      <c r="C641" s="75"/>
      <c r="D641" s="75"/>
      <c r="E641" s="75"/>
      <c r="F641" s="75"/>
      <c r="G641" s="75"/>
      <c r="H641" s="75"/>
      <c r="I641" s="75"/>
    </row>
    <row r="642" ht="14.25" customHeight="1">
      <c r="A642" s="106"/>
      <c r="B642" s="75"/>
      <c r="C642" s="75"/>
      <c r="D642" s="75"/>
      <c r="E642" s="75"/>
      <c r="F642" s="75"/>
      <c r="G642" s="75"/>
      <c r="H642" s="75"/>
      <c r="I642" s="75"/>
    </row>
    <row r="643" ht="14.25" customHeight="1">
      <c r="A643" s="106"/>
      <c r="B643" s="75"/>
      <c r="C643" s="75"/>
      <c r="D643" s="75"/>
      <c r="E643" s="75"/>
      <c r="F643" s="75"/>
      <c r="G643" s="75"/>
      <c r="H643" s="75"/>
      <c r="I643" s="75"/>
    </row>
    <row r="644" ht="14.25" customHeight="1">
      <c r="A644" s="106"/>
      <c r="B644" s="75"/>
      <c r="C644" s="75"/>
      <c r="D644" s="75"/>
      <c r="E644" s="75"/>
      <c r="F644" s="75"/>
      <c r="G644" s="75"/>
      <c r="H644" s="75"/>
      <c r="I644" s="75"/>
    </row>
    <row r="645" ht="14.25" customHeight="1">
      <c r="A645" s="106"/>
      <c r="B645" s="75"/>
      <c r="C645" s="75"/>
      <c r="D645" s="75"/>
      <c r="E645" s="75"/>
      <c r="F645" s="75"/>
      <c r="G645" s="75"/>
      <c r="H645" s="75"/>
      <c r="I645" s="75"/>
    </row>
    <row r="646" ht="14.25" customHeight="1">
      <c r="A646" s="106"/>
      <c r="B646" s="75"/>
      <c r="C646" s="75"/>
      <c r="D646" s="75"/>
      <c r="E646" s="75"/>
      <c r="F646" s="75"/>
      <c r="G646" s="75"/>
      <c r="H646" s="75"/>
      <c r="I646" s="75"/>
    </row>
    <row r="647" ht="14.25" customHeight="1">
      <c r="A647" s="106"/>
      <c r="B647" s="75"/>
      <c r="C647" s="75"/>
      <c r="D647" s="75"/>
      <c r="E647" s="75"/>
      <c r="F647" s="75"/>
      <c r="G647" s="75"/>
      <c r="H647" s="75"/>
      <c r="I647" s="75"/>
    </row>
    <row r="648" ht="14.25" customHeight="1">
      <c r="A648" s="106"/>
      <c r="B648" s="75"/>
      <c r="C648" s="75"/>
      <c r="D648" s="75"/>
      <c r="E648" s="75"/>
      <c r="F648" s="75"/>
      <c r="G648" s="75"/>
      <c r="H648" s="75"/>
      <c r="I648" s="75"/>
    </row>
    <row r="649" ht="14.25" customHeight="1">
      <c r="A649" s="106"/>
      <c r="B649" s="75"/>
      <c r="C649" s="75"/>
      <c r="D649" s="75"/>
      <c r="E649" s="75"/>
      <c r="F649" s="75"/>
      <c r="G649" s="75"/>
      <c r="H649" s="75"/>
      <c r="I649" s="75"/>
    </row>
    <row r="650" ht="14.25" customHeight="1">
      <c r="A650" s="106"/>
      <c r="B650" s="75"/>
      <c r="C650" s="75"/>
      <c r="D650" s="75"/>
      <c r="E650" s="75"/>
      <c r="F650" s="75"/>
      <c r="G650" s="75"/>
      <c r="H650" s="75"/>
      <c r="I650" s="75"/>
    </row>
    <row r="651" ht="14.25" customHeight="1">
      <c r="A651" s="106"/>
      <c r="B651" s="75"/>
      <c r="C651" s="75"/>
      <c r="D651" s="75"/>
      <c r="E651" s="75"/>
      <c r="F651" s="75"/>
      <c r="G651" s="75"/>
      <c r="H651" s="75"/>
      <c r="I651" s="75"/>
    </row>
    <row r="652" ht="14.25" customHeight="1">
      <c r="A652" s="106"/>
      <c r="B652" s="75"/>
      <c r="C652" s="75"/>
      <c r="D652" s="75"/>
      <c r="E652" s="75"/>
      <c r="F652" s="75"/>
      <c r="G652" s="75"/>
      <c r="H652" s="75"/>
      <c r="I652" s="75"/>
    </row>
    <row r="653" ht="14.25" customHeight="1">
      <c r="A653" s="106"/>
      <c r="B653" s="75"/>
      <c r="C653" s="75"/>
      <c r="D653" s="75"/>
      <c r="E653" s="75"/>
      <c r="F653" s="75"/>
      <c r="G653" s="75"/>
      <c r="H653" s="75"/>
      <c r="I653" s="75"/>
    </row>
    <row r="654" ht="14.25" customHeight="1">
      <c r="A654" s="106"/>
      <c r="B654" s="75"/>
      <c r="C654" s="75"/>
      <c r="D654" s="75"/>
      <c r="E654" s="75"/>
      <c r="F654" s="75"/>
      <c r="G654" s="75"/>
      <c r="H654" s="75"/>
      <c r="I654" s="75"/>
    </row>
    <row r="655" ht="14.25" customHeight="1">
      <c r="A655" s="106"/>
      <c r="B655" s="75"/>
      <c r="C655" s="75"/>
      <c r="D655" s="75"/>
      <c r="E655" s="75"/>
      <c r="F655" s="75"/>
      <c r="G655" s="75"/>
      <c r="H655" s="75"/>
      <c r="I655" s="75"/>
    </row>
    <row r="656" ht="14.25" customHeight="1">
      <c r="A656" s="106"/>
      <c r="B656" s="75"/>
      <c r="C656" s="75"/>
      <c r="D656" s="75"/>
      <c r="E656" s="75"/>
      <c r="F656" s="75"/>
      <c r="G656" s="75"/>
      <c r="H656" s="75"/>
      <c r="I656" s="75"/>
    </row>
    <row r="657" ht="14.25" customHeight="1">
      <c r="A657" s="106"/>
      <c r="B657" s="75"/>
      <c r="C657" s="75"/>
      <c r="D657" s="75"/>
      <c r="E657" s="75"/>
      <c r="F657" s="75"/>
      <c r="G657" s="75"/>
      <c r="H657" s="75"/>
      <c r="I657" s="75"/>
    </row>
    <row r="658" ht="14.25" customHeight="1">
      <c r="A658" s="106"/>
      <c r="B658" s="75"/>
      <c r="C658" s="75"/>
      <c r="D658" s="75"/>
      <c r="E658" s="75"/>
      <c r="F658" s="75"/>
      <c r="G658" s="75"/>
      <c r="H658" s="75"/>
      <c r="I658" s="75"/>
    </row>
    <row r="659" ht="14.25" customHeight="1">
      <c r="A659" s="106"/>
      <c r="B659" s="75"/>
      <c r="C659" s="75"/>
      <c r="D659" s="75"/>
      <c r="E659" s="75"/>
      <c r="F659" s="75"/>
      <c r="G659" s="75"/>
      <c r="H659" s="75"/>
      <c r="I659" s="75"/>
    </row>
    <row r="660" ht="14.25" customHeight="1">
      <c r="A660" s="106"/>
      <c r="B660" s="75"/>
      <c r="C660" s="75"/>
      <c r="D660" s="75"/>
      <c r="E660" s="75"/>
      <c r="F660" s="75"/>
      <c r="G660" s="75"/>
      <c r="H660" s="75"/>
      <c r="I660" s="75"/>
    </row>
    <row r="661" ht="14.25" customHeight="1">
      <c r="A661" s="106"/>
      <c r="B661" s="75"/>
      <c r="C661" s="75"/>
      <c r="D661" s="75"/>
      <c r="E661" s="75"/>
      <c r="F661" s="75"/>
      <c r="G661" s="75"/>
      <c r="H661" s="75"/>
      <c r="I661" s="75"/>
    </row>
    <row r="662" ht="14.25" customHeight="1">
      <c r="A662" s="106"/>
      <c r="B662" s="75"/>
      <c r="C662" s="75"/>
      <c r="D662" s="75"/>
      <c r="E662" s="75"/>
      <c r="F662" s="75"/>
      <c r="G662" s="75"/>
      <c r="H662" s="75"/>
      <c r="I662" s="75"/>
    </row>
    <row r="663" ht="14.25" customHeight="1">
      <c r="A663" s="106"/>
      <c r="B663" s="75"/>
      <c r="C663" s="75"/>
      <c r="D663" s="75"/>
      <c r="E663" s="75"/>
      <c r="F663" s="75"/>
      <c r="G663" s="75"/>
      <c r="H663" s="75"/>
      <c r="I663" s="75"/>
    </row>
    <row r="664" ht="14.25" customHeight="1">
      <c r="A664" s="106"/>
      <c r="B664" s="75"/>
      <c r="C664" s="75"/>
      <c r="D664" s="75"/>
      <c r="E664" s="75"/>
      <c r="F664" s="75"/>
      <c r="G664" s="75"/>
      <c r="H664" s="75"/>
      <c r="I664" s="75"/>
    </row>
    <row r="665" ht="14.25" customHeight="1">
      <c r="A665" s="106"/>
      <c r="B665" s="75"/>
      <c r="C665" s="75"/>
      <c r="D665" s="75"/>
      <c r="E665" s="75"/>
      <c r="F665" s="75"/>
      <c r="G665" s="75"/>
      <c r="H665" s="75"/>
      <c r="I665" s="75"/>
    </row>
    <row r="666" ht="14.25" customHeight="1">
      <c r="A666" s="106"/>
      <c r="B666" s="75"/>
      <c r="C666" s="75"/>
      <c r="D666" s="75"/>
      <c r="E666" s="75"/>
      <c r="F666" s="75"/>
      <c r="G666" s="75"/>
      <c r="H666" s="75"/>
      <c r="I666" s="75"/>
    </row>
    <row r="667" ht="14.25" customHeight="1">
      <c r="A667" s="106"/>
      <c r="B667" s="75"/>
      <c r="C667" s="75"/>
      <c r="D667" s="75"/>
      <c r="E667" s="75"/>
      <c r="F667" s="75"/>
      <c r="G667" s="75"/>
      <c r="H667" s="75"/>
      <c r="I667" s="75"/>
    </row>
    <row r="668" ht="14.25" customHeight="1">
      <c r="A668" s="106"/>
      <c r="B668" s="75"/>
      <c r="C668" s="75"/>
      <c r="D668" s="75"/>
      <c r="E668" s="75"/>
      <c r="F668" s="75"/>
      <c r="G668" s="75"/>
      <c r="H668" s="75"/>
      <c r="I668" s="75"/>
    </row>
    <row r="669" ht="14.25" customHeight="1">
      <c r="A669" s="106"/>
      <c r="B669" s="75"/>
      <c r="C669" s="75"/>
      <c r="D669" s="75"/>
      <c r="E669" s="75"/>
      <c r="F669" s="75"/>
      <c r="G669" s="75"/>
      <c r="H669" s="75"/>
      <c r="I669" s="75"/>
    </row>
    <row r="670" ht="14.25" customHeight="1">
      <c r="A670" s="106"/>
      <c r="B670" s="75"/>
      <c r="C670" s="75"/>
      <c r="D670" s="75"/>
      <c r="E670" s="75"/>
      <c r="F670" s="75"/>
      <c r="G670" s="75"/>
      <c r="H670" s="75"/>
      <c r="I670" s="75"/>
    </row>
    <row r="671" ht="14.25" customHeight="1">
      <c r="A671" s="106"/>
      <c r="B671" s="75"/>
      <c r="C671" s="75"/>
      <c r="D671" s="75"/>
      <c r="E671" s="75"/>
      <c r="F671" s="75"/>
      <c r="G671" s="75"/>
      <c r="H671" s="75"/>
      <c r="I671" s="75"/>
    </row>
    <row r="672" ht="14.25" customHeight="1">
      <c r="A672" s="106"/>
      <c r="B672" s="75"/>
      <c r="C672" s="75"/>
      <c r="D672" s="75"/>
      <c r="E672" s="75"/>
      <c r="F672" s="75"/>
      <c r="G672" s="75"/>
      <c r="H672" s="75"/>
      <c r="I672" s="75"/>
    </row>
    <row r="673" ht="14.25" customHeight="1">
      <c r="A673" s="106"/>
      <c r="B673" s="75"/>
      <c r="C673" s="75"/>
      <c r="D673" s="75"/>
      <c r="E673" s="75"/>
      <c r="F673" s="75"/>
      <c r="G673" s="75"/>
      <c r="H673" s="75"/>
      <c r="I673" s="75"/>
    </row>
    <row r="674" ht="14.25" customHeight="1">
      <c r="A674" s="106"/>
      <c r="B674" s="75"/>
      <c r="C674" s="75"/>
      <c r="D674" s="75"/>
      <c r="E674" s="75"/>
      <c r="F674" s="75"/>
      <c r="G674" s="75"/>
      <c r="H674" s="75"/>
      <c r="I674" s="75"/>
    </row>
    <row r="675" ht="14.25" customHeight="1">
      <c r="A675" s="106"/>
      <c r="B675" s="75"/>
      <c r="C675" s="75"/>
      <c r="D675" s="75"/>
      <c r="E675" s="75"/>
      <c r="F675" s="75"/>
      <c r="G675" s="75"/>
      <c r="H675" s="75"/>
      <c r="I675" s="75"/>
    </row>
    <row r="676" ht="14.25" customHeight="1">
      <c r="A676" s="106"/>
      <c r="B676" s="75"/>
      <c r="C676" s="75"/>
      <c r="D676" s="75"/>
      <c r="E676" s="75"/>
      <c r="F676" s="75"/>
      <c r="G676" s="75"/>
      <c r="H676" s="75"/>
      <c r="I676" s="75"/>
    </row>
    <row r="677" ht="14.25" customHeight="1">
      <c r="A677" s="106"/>
      <c r="B677" s="75"/>
      <c r="C677" s="75"/>
      <c r="D677" s="75"/>
      <c r="E677" s="75"/>
      <c r="F677" s="75"/>
      <c r="G677" s="75"/>
      <c r="H677" s="75"/>
      <c r="I677" s="75"/>
    </row>
    <row r="678" ht="14.25" customHeight="1">
      <c r="A678" s="106"/>
      <c r="B678" s="75"/>
      <c r="C678" s="75"/>
      <c r="D678" s="75"/>
      <c r="E678" s="75"/>
      <c r="F678" s="75"/>
      <c r="G678" s="75"/>
      <c r="H678" s="75"/>
      <c r="I678" s="75"/>
    </row>
    <row r="679" ht="14.25" customHeight="1">
      <c r="A679" s="106"/>
      <c r="B679" s="75"/>
      <c r="C679" s="75"/>
      <c r="D679" s="75"/>
      <c r="E679" s="75"/>
      <c r="F679" s="75"/>
      <c r="G679" s="75"/>
      <c r="H679" s="75"/>
      <c r="I679" s="75"/>
    </row>
    <row r="680" ht="14.25" customHeight="1">
      <c r="A680" s="106"/>
      <c r="B680" s="75"/>
      <c r="C680" s="75"/>
      <c r="D680" s="75"/>
      <c r="E680" s="75"/>
      <c r="F680" s="75"/>
      <c r="G680" s="75"/>
      <c r="H680" s="75"/>
      <c r="I680" s="75"/>
    </row>
    <row r="681" ht="14.25" customHeight="1">
      <c r="A681" s="106"/>
      <c r="B681" s="75"/>
      <c r="C681" s="75"/>
      <c r="D681" s="75"/>
      <c r="E681" s="75"/>
      <c r="F681" s="75"/>
      <c r="G681" s="75"/>
      <c r="H681" s="75"/>
      <c r="I681" s="75"/>
    </row>
    <row r="682" ht="14.25" customHeight="1">
      <c r="A682" s="106"/>
      <c r="B682" s="75"/>
      <c r="C682" s="75"/>
      <c r="D682" s="75"/>
      <c r="E682" s="75"/>
      <c r="F682" s="75"/>
      <c r="G682" s="75"/>
      <c r="H682" s="75"/>
      <c r="I682" s="75"/>
    </row>
    <row r="683" ht="14.25" customHeight="1">
      <c r="A683" s="106"/>
      <c r="B683" s="75"/>
      <c r="C683" s="75"/>
      <c r="D683" s="75"/>
      <c r="E683" s="75"/>
      <c r="F683" s="75"/>
      <c r="G683" s="75"/>
      <c r="H683" s="75"/>
      <c r="I683" s="75"/>
    </row>
    <row r="684" ht="14.25" customHeight="1">
      <c r="A684" s="106"/>
      <c r="B684" s="75"/>
      <c r="C684" s="75"/>
      <c r="D684" s="75"/>
      <c r="E684" s="75"/>
      <c r="F684" s="75"/>
      <c r="G684" s="75"/>
      <c r="H684" s="75"/>
      <c r="I684" s="75"/>
    </row>
    <row r="685" ht="14.25" customHeight="1">
      <c r="A685" s="106"/>
      <c r="B685" s="75"/>
      <c r="C685" s="75"/>
      <c r="D685" s="75"/>
      <c r="E685" s="75"/>
      <c r="F685" s="75"/>
      <c r="G685" s="75"/>
      <c r="H685" s="75"/>
      <c r="I685" s="75"/>
    </row>
    <row r="686" ht="14.25" customHeight="1">
      <c r="A686" s="106"/>
      <c r="B686" s="75"/>
      <c r="C686" s="75"/>
      <c r="D686" s="75"/>
      <c r="E686" s="75"/>
      <c r="F686" s="75"/>
      <c r="G686" s="75"/>
      <c r="H686" s="75"/>
      <c r="I686" s="75"/>
    </row>
    <row r="687" ht="14.25" customHeight="1">
      <c r="A687" s="106"/>
      <c r="B687" s="75"/>
      <c r="C687" s="75"/>
      <c r="D687" s="75"/>
      <c r="E687" s="75"/>
      <c r="F687" s="75"/>
      <c r="G687" s="75"/>
      <c r="H687" s="75"/>
      <c r="I687" s="75"/>
    </row>
    <row r="688" ht="14.25" customHeight="1">
      <c r="A688" s="106"/>
      <c r="B688" s="75"/>
      <c r="C688" s="75"/>
      <c r="D688" s="75"/>
      <c r="E688" s="75"/>
      <c r="F688" s="75"/>
      <c r="G688" s="75"/>
      <c r="H688" s="75"/>
      <c r="I688" s="75"/>
    </row>
    <row r="689" ht="14.25" customHeight="1">
      <c r="A689" s="106"/>
      <c r="B689" s="75"/>
      <c r="C689" s="75"/>
      <c r="D689" s="75"/>
      <c r="E689" s="75"/>
      <c r="F689" s="75"/>
      <c r="G689" s="75"/>
      <c r="H689" s="75"/>
      <c r="I689" s="75"/>
    </row>
    <row r="690" ht="14.25" customHeight="1">
      <c r="A690" s="106"/>
      <c r="B690" s="75"/>
      <c r="C690" s="75"/>
      <c r="D690" s="75"/>
      <c r="E690" s="75"/>
      <c r="F690" s="75"/>
      <c r="G690" s="75"/>
      <c r="H690" s="75"/>
      <c r="I690" s="75"/>
    </row>
    <row r="691" ht="14.25" customHeight="1">
      <c r="A691" s="106"/>
      <c r="B691" s="75"/>
      <c r="C691" s="75"/>
      <c r="D691" s="75"/>
      <c r="E691" s="75"/>
      <c r="F691" s="75"/>
      <c r="G691" s="75"/>
      <c r="H691" s="75"/>
      <c r="I691" s="75"/>
    </row>
    <row r="692" ht="14.25" customHeight="1">
      <c r="A692" s="106"/>
      <c r="B692" s="75"/>
      <c r="C692" s="75"/>
      <c r="D692" s="75"/>
      <c r="E692" s="75"/>
      <c r="F692" s="75"/>
      <c r="G692" s="75"/>
      <c r="H692" s="75"/>
      <c r="I692" s="75"/>
    </row>
    <row r="693" ht="14.25" customHeight="1">
      <c r="A693" s="106"/>
      <c r="B693" s="75"/>
      <c r="C693" s="75"/>
      <c r="D693" s="75"/>
      <c r="E693" s="75"/>
      <c r="F693" s="75"/>
      <c r="G693" s="75"/>
      <c r="H693" s="75"/>
      <c r="I693" s="75"/>
    </row>
    <row r="694" ht="14.25" customHeight="1">
      <c r="A694" s="106"/>
      <c r="B694" s="75"/>
      <c r="C694" s="75"/>
      <c r="D694" s="75"/>
      <c r="E694" s="75"/>
      <c r="F694" s="75"/>
      <c r="G694" s="75"/>
      <c r="H694" s="75"/>
      <c r="I694" s="75"/>
    </row>
    <row r="695" ht="14.25" customHeight="1">
      <c r="A695" s="106"/>
      <c r="B695" s="75"/>
      <c r="C695" s="75"/>
      <c r="D695" s="75"/>
      <c r="E695" s="75"/>
      <c r="F695" s="75"/>
      <c r="G695" s="75"/>
      <c r="H695" s="75"/>
      <c r="I695" s="75"/>
    </row>
    <row r="696" ht="14.25" customHeight="1">
      <c r="A696" s="106"/>
      <c r="B696" s="75"/>
      <c r="C696" s="75"/>
      <c r="D696" s="75"/>
      <c r="E696" s="75"/>
      <c r="F696" s="75"/>
      <c r="G696" s="75"/>
      <c r="H696" s="75"/>
      <c r="I696" s="75"/>
    </row>
    <row r="697" ht="14.25" customHeight="1">
      <c r="A697" s="106"/>
      <c r="B697" s="75"/>
      <c r="C697" s="75"/>
      <c r="D697" s="75"/>
      <c r="E697" s="75"/>
      <c r="F697" s="75"/>
      <c r="G697" s="75"/>
      <c r="H697" s="75"/>
      <c r="I697" s="75"/>
    </row>
    <row r="698" ht="14.25" customHeight="1">
      <c r="A698" s="106"/>
      <c r="B698" s="75"/>
      <c r="C698" s="75"/>
      <c r="D698" s="75"/>
      <c r="E698" s="75"/>
      <c r="F698" s="75"/>
      <c r="G698" s="75"/>
      <c r="H698" s="75"/>
      <c r="I698" s="75"/>
    </row>
    <row r="699" ht="14.25" customHeight="1">
      <c r="A699" s="106"/>
      <c r="B699" s="75"/>
      <c r="C699" s="75"/>
      <c r="D699" s="75"/>
      <c r="E699" s="75"/>
      <c r="F699" s="75"/>
      <c r="G699" s="75"/>
      <c r="H699" s="75"/>
      <c r="I699" s="75"/>
    </row>
    <row r="700" ht="14.25" customHeight="1">
      <c r="A700" s="106"/>
      <c r="B700" s="75"/>
      <c r="C700" s="75"/>
      <c r="D700" s="75"/>
      <c r="E700" s="75"/>
      <c r="F700" s="75"/>
      <c r="G700" s="75"/>
      <c r="H700" s="75"/>
      <c r="I700" s="75"/>
    </row>
    <row r="701" ht="14.25" customHeight="1">
      <c r="A701" s="106"/>
      <c r="B701" s="75"/>
      <c r="C701" s="75"/>
      <c r="D701" s="75"/>
      <c r="E701" s="75"/>
      <c r="F701" s="75"/>
      <c r="G701" s="75"/>
      <c r="H701" s="75"/>
      <c r="I701" s="75"/>
    </row>
    <row r="702" ht="14.25" customHeight="1">
      <c r="A702" s="106"/>
      <c r="B702" s="75"/>
      <c r="C702" s="75"/>
      <c r="D702" s="75"/>
      <c r="E702" s="75"/>
      <c r="F702" s="75"/>
      <c r="G702" s="75"/>
      <c r="H702" s="75"/>
      <c r="I702" s="75"/>
    </row>
    <row r="703" ht="14.25" customHeight="1">
      <c r="A703" s="106"/>
      <c r="B703" s="75"/>
      <c r="C703" s="75"/>
      <c r="D703" s="75"/>
      <c r="E703" s="75"/>
      <c r="F703" s="75"/>
      <c r="G703" s="75"/>
      <c r="H703" s="75"/>
      <c r="I703" s="75"/>
    </row>
    <row r="704" ht="14.25" customHeight="1">
      <c r="A704" s="106"/>
      <c r="B704" s="75"/>
      <c r="C704" s="75"/>
      <c r="D704" s="75"/>
      <c r="E704" s="75"/>
      <c r="F704" s="75"/>
      <c r="G704" s="75"/>
      <c r="H704" s="75"/>
      <c r="I704" s="75"/>
    </row>
    <row r="705" ht="14.25" customHeight="1">
      <c r="A705" s="106"/>
      <c r="B705" s="75"/>
      <c r="C705" s="75"/>
      <c r="D705" s="75"/>
      <c r="E705" s="75"/>
      <c r="F705" s="75"/>
      <c r="G705" s="75"/>
      <c r="H705" s="75"/>
      <c r="I705" s="75"/>
    </row>
    <row r="706" ht="14.25" customHeight="1">
      <c r="A706" s="106"/>
      <c r="B706" s="75"/>
      <c r="C706" s="75"/>
      <c r="D706" s="75"/>
      <c r="E706" s="75"/>
      <c r="F706" s="75"/>
      <c r="G706" s="75"/>
      <c r="H706" s="75"/>
      <c r="I706" s="75"/>
    </row>
    <row r="707" ht="14.25" customHeight="1">
      <c r="A707" s="106"/>
      <c r="B707" s="75"/>
      <c r="C707" s="75"/>
      <c r="D707" s="75"/>
      <c r="E707" s="75"/>
      <c r="F707" s="75"/>
      <c r="G707" s="75"/>
      <c r="H707" s="75"/>
      <c r="I707" s="75"/>
    </row>
    <row r="708" ht="14.25" customHeight="1">
      <c r="A708" s="106"/>
      <c r="B708" s="75"/>
      <c r="C708" s="75"/>
      <c r="D708" s="75"/>
      <c r="E708" s="75"/>
      <c r="F708" s="75"/>
      <c r="G708" s="75"/>
      <c r="H708" s="75"/>
      <c r="I708" s="75"/>
    </row>
    <row r="709" ht="14.25" customHeight="1">
      <c r="A709" s="106"/>
      <c r="B709" s="75"/>
      <c r="C709" s="75"/>
      <c r="D709" s="75"/>
      <c r="E709" s="75"/>
      <c r="F709" s="75"/>
      <c r="G709" s="75"/>
      <c r="H709" s="75"/>
      <c r="I709" s="75"/>
    </row>
    <row r="710" ht="14.25" customHeight="1">
      <c r="A710" s="106"/>
      <c r="B710" s="75"/>
      <c r="C710" s="75"/>
      <c r="D710" s="75"/>
      <c r="E710" s="75"/>
      <c r="F710" s="75"/>
      <c r="G710" s="75"/>
      <c r="H710" s="75"/>
      <c r="I710" s="75"/>
    </row>
    <row r="711" ht="14.25" customHeight="1">
      <c r="A711" s="106"/>
      <c r="B711" s="75"/>
      <c r="C711" s="75"/>
      <c r="D711" s="75"/>
      <c r="E711" s="75"/>
      <c r="F711" s="75"/>
      <c r="G711" s="75"/>
      <c r="H711" s="75"/>
      <c r="I711" s="75"/>
    </row>
    <row r="712" ht="14.25" customHeight="1">
      <c r="A712" s="106"/>
      <c r="B712" s="75"/>
      <c r="C712" s="75"/>
      <c r="D712" s="75"/>
      <c r="E712" s="75"/>
      <c r="F712" s="75"/>
      <c r="G712" s="75"/>
      <c r="H712" s="75"/>
      <c r="I712" s="75"/>
    </row>
    <row r="713" ht="14.25" customHeight="1">
      <c r="A713" s="106"/>
      <c r="B713" s="75"/>
      <c r="C713" s="75"/>
      <c r="D713" s="75"/>
      <c r="E713" s="75"/>
      <c r="F713" s="75"/>
      <c r="G713" s="75"/>
      <c r="H713" s="75"/>
      <c r="I713" s="75"/>
    </row>
    <row r="714" ht="14.25" customHeight="1">
      <c r="A714" s="106"/>
      <c r="B714" s="75"/>
      <c r="C714" s="75"/>
      <c r="D714" s="75"/>
      <c r="E714" s="75"/>
      <c r="F714" s="75"/>
      <c r="G714" s="75"/>
      <c r="H714" s="75"/>
      <c r="I714" s="75"/>
    </row>
    <row r="715" ht="14.25" customHeight="1">
      <c r="A715" s="106"/>
      <c r="B715" s="75"/>
      <c r="C715" s="75"/>
      <c r="D715" s="75"/>
      <c r="E715" s="75"/>
      <c r="F715" s="75"/>
      <c r="G715" s="75"/>
      <c r="H715" s="75"/>
      <c r="I715" s="75"/>
    </row>
    <row r="716" ht="14.25" customHeight="1">
      <c r="A716" s="106"/>
      <c r="B716" s="75"/>
      <c r="C716" s="75"/>
      <c r="D716" s="75"/>
      <c r="E716" s="75"/>
      <c r="F716" s="75"/>
      <c r="G716" s="75"/>
      <c r="H716" s="75"/>
      <c r="I716" s="75"/>
    </row>
    <row r="717" ht="14.25" customHeight="1">
      <c r="A717" s="106"/>
      <c r="B717" s="75"/>
      <c r="C717" s="75"/>
      <c r="D717" s="75"/>
      <c r="E717" s="75"/>
      <c r="F717" s="75"/>
      <c r="G717" s="75"/>
      <c r="H717" s="75"/>
      <c r="I717" s="75"/>
    </row>
    <row r="718" ht="14.25" customHeight="1">
      <c r="A718" s="106"/>
      <c r="B718" s="75"/>
      <c r="C718" s="75"/>
      <c r="D718" s="75"/>
      <c r="E718" s="75"/>
      <c r="F718" s="75"/>
      <c r="G718" s="75"/>
      <c r="H718" s="75"/>
      <c r="I718" s="75"/>
    </row>
    <row r="719" ht="14.25" customHeight="1">
      <c r="A719" s="106"/>
      <c r="B719" s="75"/>
      <c r="C719" s="75"/>
      <c r="D719" s="75"/>
      <c r="E719" s="75"/>
      <c r="F719" s="75"/>
      <c r="G719" s="75"/>
      <c r="H719" s="75"/>
      <c r="I719" s="75"/>
    </row>
    <row r="720" ht="14.25" customHeight="1">
      <c r="A720" s="106"/>
      <c r="B720" s="75"/>
      <c r="C720" s="75"/>
      <c r="D720" s="75"/>
      <c r="E720" s="75"/>
      <c r="F720" s="75"/>
      <c r="G720" s="75"/>
      <c r="H720" s="75"/>
      <c r="I720" s="75"/>
    </row>
    <row r="721" ht="14.25" customHeight="1">
      <c r="A721" s="106"/>
      <c r="B721" s="75"/>
      <c r="C721" s="75"/>
      <c r="D721" s="75"/>
      <c r="E721" s="75"/>
      <c r="F721" s="75"/>
      <c r="G721" s="75"/>
      <c r="H721" s="75"/>
      <c r="I721" s="75"/>
    </row>
    <row r="722" ht="14.25" customHeight="1">
      <c r="A722" s="106"/>
      <c r="B722" s="75"/>
      <c r="C722" s="75"/>
      <c r="D722" s="75"/>
      <c r="E722" s="75"/>
      <c r="F722" s="75"/>
      <c r="G722" s="75"/>
      <c r="H722" s="75"/>
      <c r="I722" s="75"/>
    </row>
    <row r="723" ht="14.25" customHeight="1">
      <c r="A723" s="106"/>
      <c r="B723" s="75"/>
      <c r="C723" s="75"/>
      <c r="D723" s="75"/>
      <c r="E723" s="75"/>
      <c r="F723" s="75"/>
      <c r="G723" s="75"/>
      <c r="H723" s="75"/>
      <c r="I723" s="75"/>
    </row>
    <row r="724" ht="14.25" customHeight="1">
      <c r="A724" s="106"/>
      <c r="B724" s="75"/>
      <c r="C724" s="75"/>
      <c r="D724" s="75"/>
      <c r="E724" s="75"/>
      <c r="F724" s="75"/>
      <c r="G724" s="75"/>
      <c r="H724" s="75"/>
      <c r="I724" s="75"/>
    </row>
    <row r="725" ht="14.25" customHeight="1">
      <c r="A725" s="106"/>
      <c r="B725" s="75"/>
      <c r="C725" s="75"/>
      <c r="D725" s="75"/>
      <c r="E725" s="75"/>
      <c r="F725" s="75"/>
      <c r="G725" s="75"/>
      <c r="H725" s="75"/>
      <c r="I725" s="75"/>
    </row>
    <row r="726" ht="14.25" customHeight="1">
      <c r="A726" s="106"/>
      <c r="B726" s="75"/>
      <c r="C726" s="75"/>
      <c r="D726" s="75"/>
      <c r="E726" s="75"/>
      <c r="F726" s="75"/>
      <c r="G726" s="75"/>
      <c r="H726" s="75"/>
      <c r="I726" s="75"/>
    </row>
    <row r="727" ht="14.25" customHeight="1">
      <c r="A727" s="106"/>
      <c r="B727" s="75"/>
      <c r="C727" s="75"/>
      <c r="D727" s="75"/>
      <c r="E727" s="75"/>
      <c r="F727" s="75"/>
      <c r="G727" s="75"/>
      <c r="H727" s="75"/>
      <c r="I727" s="75"/>
    </row>
    <row r="728" ht="14.25" customHeight="1">
      <c r="A728" s="106"/>
      <c r="B728" s="75"/>
      <c r="C728" s="75"/>
      <c r="D728" s="75"/>
      <c r="E728" s="75"/>
      <c r="F728" s="75"/>
      <c r="G728" s="75"/>
      <c r="H728" s="75"/>
      <c r="I728" s="75"/>
    </row>
    <row r="729" ht="14.25" customHeight="1">
      <c r="A729" s="106"/>
      <c r="B729" s="75"/>
      <c r="C729" s="75"/>
      <c r="D729" s="75"/>
      <c r="E729" s="75"/>
      <c r="F729" s="75"/>
      <c r="G729" s="75"/>
      <c r="H729" s="75"/>
      <c r="I729" s="75"/>
    </row>
    <row r="730" ht="14.25" customHeight="1">
      <c r="A730" s="106"/>
      <c r="B730" s="75"/>
      <c r="C730" s="75"/>
      <c r="D730" s="75"/>
      <c r="E730" s="75"/>
      <c r="F730" s="75"/>
      <c r="G730" s="75"/>
      <c r="H730" s="75"/>
      <c r="I730" s="75"/>
    </row>
    <row r="731" ht="14.25" customHeight="1">
      <c r="A731" s="106"/>
      <c r="B731" s="75"/>
      <c r="C731" s="75"/>
      <c r="D731" s="75"/>
      <c r="E731" s="75"/>
      <c r="F731" s="75"/>
      <c r="G731" s="75"/>
      <c r="H731" s="75"/>
      <c r="I731" s="75"/>
    </row>
    <row r="732" ht="14.25" customHeight="1">
      <c r="A732" s="106"/>
      <c r="B732" s="75"/>
      <c r="C732" s="75"/>
      <c r="D732" s="75"/>
      <c r="E732" s="75"/>
      <c r="F732" s="75"/>
      <c r="G732" s="75"/>
      <c r="H732" s="75"/>
      <c r="I732" s="75"/>
    </row>
    <row r="733" ht="14.25" customHeight="1">
      <c r="A733" s="106"/>
      <c r="B733" s="75"/>
      <c r="C733" s="75"/>
      <c r="D733" s="75"/>
      <c r="E733" s="75"/>
      <c r="F733" s="75"/>
      <c r="G733" s="75"/>
      <c r="H733" s="75"/>
      <c r="I733" s="75"/>
    </row>
    <row r="734" ht="14.25" customHeight="1">
      <c r="A734" s="106"/>
      <c r="B734" s="75"/>
      <c r="C734" s="75"/>
      <c r="D734" s="75"/>
      <c r="E734" s="75"/>
      <c r="F734" s="75"/>
      <c r="G734" s="75"/>
      <c r="H734" s="75"/>
      <c r="I734" s="75"/>
    </row>
    <row r="735" ht="14.25" customHeight="1">
      <c r="A735" s="106"/>
      <c r="B735" s="75"/>
      <c r="C735" s="75"/>
      <c r="D735" s="75"/>
      <c r="E735" s="75"/>
      <c r="F735" s="75"/>
      <c r="G735" s="75"/>
      <c r="H735" s="75"/>
      <c r="I735" s="75"/>
    </row>
    <row r="736" ht="14.25" customHeight="1">
      <c r="A736" s="106"/>
      <c r="B736" s="75"/>
      <c r="C736" s="75"/>
      <c r="D736" s="75"/>
      <c r="E736" s="75"/>
      <c r="F736" s="75"/>
      <c r="G736" s="75"/>
      <c r="H736" s="75"/>
      <c r="I736" s="75"/>
    </row>
    <row r="737" ht="14.25" customHeight="1">
      <c r="A737" s="106"/>
      <c r="B737" s="75"/>
      <c r="C737" s="75"/>
      <c r="D737" s="75"/>
      <c r="E737" s="75"/>
      <c r="F737" s="75"/>
      <c r="G737" s="75"/>
      <c r="H737" s="75"/>
      <c r="I737" s="75"/>
    </row>
    <row r="738" ht="14.25" customHeight="1">
      <c r="A738" s="106"/>
      <c r="B738" s="75"/>
      <c r="C738" s="75"/>
      <c r="D738" s="75"/>
      <c r="E738" s="75"/>
      <c r="F738" s="75"/>
      <c r="G738" s="75"/>
      <c r="H738" s="75"/>
      <c r="I738" s="75"/>
    </row>
    <row r="739" ht="14.25" customHeight="1">
      <c r="A739" s="106"/>
      <c r="B739" s="75"/>
      <c r="C739" s="75"/>
      <c r="D739" s="75"/>
      <c r="E739" s="75"/>
      <c r="F739" s="75"/>
      <c r="G739" s="75"/>
      <c r="H739" s="75"/>
      <c r="I739" s="75"/>
    </row>
    <row r="740" ht="14.25" customHeight="1">
      <c r="A740" s="106"/>
      <c r="B740" s="75"/>
      <c r="C740" s="75"/>
      <c r="D740" s="75"/>
      <c r="E740" s="75"/>
      <c r="F740" s="75"/>
      <c r="G740" s="75"/>
      <c r="H740" s="75"/>
      <c r="I740" s="75"/>
    </row>
    <row r="741" ht="14.25" customHeight="1">
      <c r="A741" s="106"/>
      <c r="B741" s="75"/>
      <c r="C741" s="75"/>
      <c r="D741" s="75"/>
      <c r="E741" s="75"/>
      <c r="F741" s="75"/>
      <c r="G741" s="75"/>
      <c r="H741" s="75"/>
      <c r="I741" s="75"/>
    </row>
    <row r="742" ht="14.25" customHeight="1">
      <c r="A742" s="106"/>
      <c r="B742" s="75"/>
      <c r="C742" s="75"/>
      <c r="D742" s="75"/>
      <c r="E742" s="75"/>
      <c r="F742" s="75"/>
      <c r="G742" s="75"/>
      <c r="H742" s="75"/>
      <c r="I742" s="75"/>
    </row>
    <row r="743" ht="14.25" customHeight="1">
      <c r="A743" s="106"/>
      <c r="B743" s="75"/>
      <c r="C743" s="75"/>
      <c r="D743" s="75"/>
      <c r="E743" s="75"/>
      <c r="F743" s="75"/>
      <c r="G743" s="75"/>
      <c r="H743" s="75"/>
      <c r="I743" s="75"/>
    </row>
    <row r="744" ht="14.25" customHeight="1">
      <c r="A744" s="106"/>
      <c r="B744" s="75"/>
      <c r="C744" s="75"/>
      <c r="D744" s="75"/>
      <c r="E744" s="75"/>
      <c r="F744" s="75"/>
      <c r="G744" s="75"/>
      <c r="H744" s="75"/>
      <c r="I744" s="75"/>
    </row>
    <row r="745" ht="14.25" customHeight="1">
      <c r="A745" s="106"/>
      <c r="B745" s="75"/>
      <c r="C745" s="75"/>
      <c r="D745" s="75"/>
      <c r="E745" s="75"/>
      <c r="F745" s="75"/>
      <c r="G745" s="75"/>
      <c r="H745" s="75"/>
      <c r="I745" s="75"/>
    </row>
    <row r="746" ht="14.25" customHeight="1">
      <c r="A746" s="106"/>
      <c r="B746" s="75"/>
      <c r="C746" s="75"/>
      <c r="D746" s="75"/>
      <c r="E746" s="75"/>
      <c r="F746" s="75"/>
      <c r="G746" s="75"/>
      <c r="H746" s="75"/>
      <c r="I746" s="75"/>
    </row>
    <row r="747" ht="14.25" customHeight="1">
      <c r="A747" s="106"/>
      <c r="B747" s="75"/>
      <c r="C747" s="75"/>
      <c r="D747" s="75"/>
      <c r="E747" s="75"/>
      <c r="F747" s="75"/>
      <c r="G747" s="75"/>
      <c r="H747" s="75"/>
      <c r="I747" s="75"/>
    </row>
    <row r="748" ht="14.25" customHeight="1">
      <c r="A748" s="106"/>
      <c r="B748" s="75"/>
      <c r="C748" s="75"/>
      <c r="D748" s="75"/>
      <c r="E748" s="75"/>
      <c r="F748" s="75"/>
      <c r="G748" s="75"/>
      <c r="H748" s="75"/>
      <c r="I748" s="75"/>
    </row>
    <row r="749" ht="14.25" customHeight="1">
      <c r="A749" s="106"/>
      <c r="B749" s="75"/>
      <c r="C749" s="75"/>
      <c r="D749" s="75"/>
      <c r="E749" s="75"/>
      <c r="F749" s="75"/>
      <c r="G749" s="75"/>
      <c r="H749" s="75"/>
      <c r="I749" s="75"/>
    </row>
    <row r="750" ht="14.25" customHeight="1">
      <c r="A750" s="106"/>
      <c r="B750" s="75"/>
      <c r="C750" s="75"/>
      <c r="D750" s="75"/>
      <c r="E750" s="75"/>
      <c r="F750" s="75"/>
      <c r="G750" s="75"/>
      <c r="H750" s="75"/>
      <c r="I750" s="75"/>
    </row>
    <row r="751" ht="14.25" customHeight="1">
      <c r="A751" s="106"/>
      <c r="B751" s="75"/>
      <c r="C751" s="75"/>
      <c r="D751" s="75"/>
      <c r="E751" s="75"/>
      <c r="F751" s="75"/>
      <c r="G751" s="75"/>
      <c r="H751" s="75"/>
      <c r="I751" s="75"/>
    </row>
    <row r="752" ht="14.25" customHeight="1">
      <c r="A752" s="106"/>
      <c r="B752" s="75"/>
      <c r="C752" s="75"/>
      <c r="D752" s="75"/>
      <c r="E752" s="75"/>
      <c r="F752" s="75"/>
      <c r="G752" s="75"/>
      <c r="H752" s="75"/>
      <c r="I752" s="75"/>
    </row>
    <row r="753" ht="14.25" customHeight="1">
      <c r="A753" s="106"/>
      <c r="B753" s="75"/>
      <c r="C753" s="75"/>
      <c r="D753" s="75"/>
      <c r="E753" s="75"/>
      <c r="F753" s="75"/>
      <c r="G753" s="75"/>
      <c r="H753" s="75"/>
      <c r="I753" s="75"/>
    </row>
    <row r="754" ht="14.25" customHeight="1">
      <c r="A754" s="106"/>
      <c r="B754" s="75"/>
      <c r="C754" s="75"/>
      <c r="D754" s="75"/>
      <c r="E754" s="75"/>
      <c r="F754" s="75"/>
      <c r="G754" s="75"/>
      <c r="H754" s="75"/>
      <c r="I754" s="75"/>
    </row>
    <row r="755" ht="14.25" customHeight="1">
      <c r="A755" s="106"/>
      <c r="B755" s="75"/>
      <c r="C755" s="75"/>
      <c r="D755" s="75"/>
      <c r="E755" s="75"/>
      <c r="F755" s="75"/>
      <c r="G755" s="75"/>
      <c r="H755" s="75"/>
      <c r="I755" s="75"/>
    </row>
    <row r="756" ht="14.25" customHeight="1">
      <c r="A756" s="106"/>
      <c r="B756" s="75"/>
      <c r="C756" s="75"/>
      <c r="D756" s="75"/>
      <c r="E756" s="75"/>
      <c r="F756" s="75"/>
      <c r="G756" s="75"/>
      <c r="H756" s="75"/>
      <c r="I756" s="75"/>
    </row>
    <row r="757" ht="14.25" customHeight="1">
      <c r="A757" s="106"/>
      <c r="B757" s="75"/>
      <c r="C757" s="75"/>
      <c r="D757" s="75"/>
      <c r="E757" s="75"/>
      <c r="F757" s="75"/>
      <c r="G757" s="75"/>
      <c r="H757" s="75"/>
      <c r="I757" s="75"/>
    </row>
    <row r="758" ht="14.25" customHeight="1">
      <c r="A758" s="106"/>
      <c r="B758" s="75"/>
      <c r="C758" s="75"/>
      <c r="D758" s="75"/>
      <c r="E758" s="75"/>
      <c r="F758" s="75"/>
      <c r="G758" s="75"/>
      <c r="H758" s="75"/>
      <c r="I758" s="75"/>
    </row>
    <row r="759" ht="14.25" customHeight="1">
      <c r="A759" s="106"/>
      <c r="B759" s="75"/>
      <c r="C759" s="75"/>
      <c r="D759" s="75"/>
      <c r="E759" s="75"/>
      <c r="F759" s="75"/>
      <c r="G759" s="75"/>
      <c r="H759" s="75"/>
      <c r="I759" s="75"/>
    </row>
    <row r="760" ht="14.25" customHeight="1">
      <c r="A760" s="106"/>
      <c r="B760" s="75"/>
      <c r="C760" s="75"/>
      <c r="D760" s="75"/>
      <c r="E760" s="75"/>
      <c r="F760" s="75"/>
      <c r="G760" s="75"/>
      <c r="H760" s="75"/>
      <c r="I760" s="75"/>
    </row>
    <row r="761" ht="14.25" customHeight="1">
      <c r="A761" s="106"/>
      <c r="B761" s="75"/>
      <c r="C761" s="75"/>
      <c r="D761" s="75"/>
      <c r="E761" s="75"/>
      <c r="F761" s="75"/>
      <c r="G761" s="75"/>
      <c r="H761" s="75"/>
      <c r="I761" s="75"/>
    </row>
    <row r="762" ht="14.25" customHeight="1">
      <c r="A762" s="106"/>
      <c r="B762" s="75"/>
      <c r="C762" s="75"/>
      <c r="D762" s="75"/>
      <c r="E762" s="75"/>
      <c r="F762" s="75"/>
      <c r="G762" s="75"/>
      <c r="H762" s="75"/>
      <c r="I762" s="75"/>
    </row>
    <row r="763" ht="14.25" customHeight="1">
      <c r="A763" s="106"/>
      <c r="B763" s="75"/>
      <c r="C763" s="75"/>
      <c r="D763" s="75"/>
      <c r="E763" s="75"/>
      <c r="F763" s="75"/>
      <c r="G763" s="75"/>
      <c r="H763" s="75"/>
      <c r="I763" s="75"/>
    </row>
    <row r="764" ht="14.25" customHeight="1">
      <c r="A764" s="106"/>
      <c r="B764" s="75"/>
      <c r="C764" s="75"/>
      <c r="D764" s="75"/>
      <c r="E764" s="75"/>
      <c r="F764" s="75"/>
      <c r="G764" s="75"/>
      <c r="H764" s="75"/>
      <c r="I764" s="75"/>
    </row>
    <row r="765" ht="14.25" customHeight="1">
      <c r="A765" s="106"/>
      <c r="B765" s="75"/>
      <c r="C765" s="75"/>
      <c r="D765" s="75"/>
      <c r="E765" s="75"/>
      <c r="F765" s="75"/>
      <c r="G765" s="75"/>
      <c r="H765" s="75"/>
      <c r="I765" s="75"/>
    </row>
    <row r="766" ht="14.25" customHeight="1">
      <c r="A766" s="106"/>
      <c r="B766" s="75"/>
      <c r="C766" s="75"/>
      <c r="D766" s="75"/>
      <c r="E766" s="75"/>
      <c r="F766" s="75"/>
      <c r="G766" s="75"/>
      <c r="H766" s="75"/>
      <c r="I766" s="75"/>
    </row>
    <row r="767" ht="14.25" customHeight="1">
      <c r="A767" s="106"/>
      <c r="B767" s="75"/>
      <c r="C767" s="75"/>
      <c r="D767" s="75"/>
      <c r="E767" s="75"/>
      <c r="F767" s="75"/>
      <c r="G767" s="75"/>
      <c r="H767" s="75"/>
      <c r="I767" s="75"/>
    </row>
    <row r="768" ht="14.25" customHeight="1">
      <c r="A768" s="106"/>
      <c r="B768" s="75"/>
      <c r="C768" s="75"/>
      <c r="D768" s="75"/>
      <c r="E768" s="75"/>
      <c r="F768" s="75"/>
      <c r="G768" s="75"/>
      <c r="H768" s="75"/>
      <c r="I768" s="75"/>
    </row>
    <row r="769" ht="14.25" customHeight="1">
      <c r="A769" s="106"/>
      <c r="B769" s="75"/>
      <c r="C769" s="75"/>
      <c r="D769" s="75"/>
      <c r="E769" s="75"/>
      <c r="F769" s="75"/>
      <c r="G769" s="75"/>
      <c r="H769" s="75"/>
      <c r="I769" s="75"/>
    </row>
    <row r="770" ht="14.25" customHeight="1">
      <c r="A770" s="106"/>
      <c r="B770" s="75"/>
      <c r="C770" s="75"/>
      <c r="D770" s="75"/>
      <c r="E770" s="75"/>
      <c r="F770" s="75"/>
      <c r="G770" s="75"/>
      <c r="H770" s="75"/>
      <c r="I770" s="75"/>
    </row>
    <row r="771" ht="14.25" customHeight="1">
      <c r="A771" s="106"/>
      <c r="B771" s="75"/>
      <c r="C771" s="75"/>
      <c r="D771" s="75"/>
      <c r="E771" s="75"/>
      <c r="F771" s="75"/>
      <c r="G771" s="75"/>
      <c r="H771" s="75"/>
      <c r="I771" s="75"/>
    </row>
    <row r="772" ht="14.25" customHeight="1">
      <c r="A772" s="106"/>
      <c r="B772" s="75"/>
      <c r="C772" s="75"/>
      <c r="D772" s="75"/>
      <c r="E772" s="75"/>
      <c r="F772" s="75"/>
      <c r="G772" s="75"/>
      <c r="H772" s="75"/>
      <c r="I772" s="75"/>
    </row>
    <row r="773" ht="14.25" customHeight="1">
      <c r="A773" s="106"/>
      <c r="B773" s="75"/>
      <c r="C773" s="75"/>
      <c r="D773" s="75"/>
      <c r="E773" s="75"/>
      <c r="F773" s="75"/>
      <c r="G773" s="75"/>
      <c r="H773" s="75"/>
      <c r="I773" s="75"/>
    </row>
    <row r="774" ht="14.25" customHeight="1">
      <c r="A774" s="106"/>
      <c r="B774" s="75"/>
      <c r="C774" s="75"/>
      <c r="D774" s="75"/>
      <c r="E774" s="75"/>
      <c r="F774" s="75"/>
      <c r="G774" s="75"/>
      <c r="H774" s="75"/>
      <c r="I774" s="75"/>
    </row>
    <row r="775" ht="14.25" customHeight="1">
      <c r="A775" s="106"/>
      <c r="B775" s="75"/>
      <c r="C775" s="75"/>
      <c r="D775" s="75"/>
      <c r="E775" s="75"/>
      <c r="F775" s="75"/>
      <c r="G775" s="75"/>
      <c r="H775" s="75"/>
      <c r="I775" s="75"/>
    </row>
    <row r="776" ht="14.25" customHeight="1">
      <c r="A776" s="106"/>
      <c r="B776" s="75"/>
      <c r="C776" s="75"/>
      <c r="D776" s="75"/>
      <c r="E776" s="75"/>
      <c r="F776" s="75"/>
      <c r="G776" s="75"/>
      <c r="H776" s="75"/>
      <c r="I776" s="75"/>
    </row>
    <row r="777" ht="14.25" customHeight="1">
      <c r="A777" s="106"/>
      <c r="B777" s="75"/>
      <c r="C777" s="75"/>
      <c r="D777" s="75"/>
      <c r="E777" s="75"/>
      <c r="F777" s="75"/>
      <c r="G777" s="75"/>
      <c r="H777" s="75"/>
      <c r="I777" s="75"/>
    </row>
    <row r="778" ht="14.25" customHeight="1">
      <c r="A778" s="106"/>
      <c r="B778" s="75"/>
      <c r="C778" s="75"/>
      <c r="D778" s="75"/>
      <c r="E778" s="75"/>
      <c r="F778" s="75"/>
      <c r="G778" s="75"/>
      <c r="H778" s="75"/>
      <c r="I778" s="75"/>
    </row>
    <row r="779" ht="14.25" customHeight="1">
      <c r="A779" s="106"/>
      <c r="B779" s="75"/>
      <c r="C779" s="75"/>
      <c r="D779" s="75"/>
      <c r="E779" s="75"/>
      <c r="F779" s="75"/>
      <c r="G779" s="75"/>
      <c r="H779" s="75"/>
      <c r="I779" s="75"/>
    </row>
    <row r="780" ht="14.25" customHeight="1">
      <c r="A780" s="106"/>
      <c r="B780" s="75"/>
      <c r="C780" s="75"/>
      <c r="D780" s="75"/>
      <c r="E780" s="75"/>
      <c r="F780" s="75"/>
      <c r="G780" s="75"/>
      <c r="H780" s="75"/>
      <c r="I780" s="75"/>
    </row>
    <row r="781" ht="14.25" customHeight="1">
      <c r="A781" s="106"/>
      <c r="B781" s="75"/>
      <c r="C781" s="75"/>
      <c r="D781" s="75"/>
      <c r="E781" s="75"/>
      <c r="F781" s="75"/>
      <c r="G781" s="75"/>
      <c r="H781" s="75"/>
      <c r="I781" s="75"/>
    </row>
    <row r="782" ht="14.25" customHeight="1">
      <c r="A782" s="106"/>
      <c r="B782" s="75"/>
      <c r="C782" s="75"/>
      <c r="D782" s="75"/>
      <c r="E782" s="75"/>
      <c r="F782" s="75"/>
      <c r="G782" s="75"/>
      <c r="H782" s="75"/>
      <c r="I782" s="75"/>
    </row>
    <row r="783" ht="14.25" customHeight="1">
      <c r="A783" s="106"/>
      <c r="B783" s="75"/>
      <c r="C783" s="75"/>
      <c r="D783" s="75"/>
      <c r="E783" s="75"/>
      <c r="F783" s="75"/>
      <c r="G783" s="75"/>
      <c r="H783" s="75"/>
      <c r="I783" s="75"/>
    </row>
    <row r="784" ht="14.25" customHeight="1">
      <c r="A784" s="106"/>
      <c r="B784" s="75"/>
      <c r="C784" s="75"/>
      <c r="D784" s="75"/>
      <c r="E784" s="75"/>
      <c r="F784" s="75"/>
      <c r="G784" s="75"/>
      <c r="H784" s="75"/>
      <c r="I784" s="75"/>
    </row>
    <row r="785" ht="14.25" customHeight="1">
      <c r="A785" s="106"/>
      <c r="B785" s="75"/>
      <c r="C785" s="75"/>
      <c r="D785" s="75"/>
      <c r="E785" s="75"/>
      <c r="F785" s="75"/>
      <c r="G785" s="75"/>
      <c r="H785" s="75"/>
      <c r="I785" s="75"/>
    </row>
    <row r="786" ht="14.25" customHeight="1">
      <c r="A786" s="106"/>
      <c r="B786" s="75"/>
      <c r="C786" s="75"/>
      <c r="D786" s="75"/>
      <c r="E786" s="75"/>
      <c r="F786" s="75"/>
      <c r="G786" s="75"/>
      <c r="H786" s="75"/>
      <c r="I786" s="75"/>
    </row>
    <row r="787" ht="14.25" customHeight="1">
      <c r="A787" s="106"/>
      <c r="B787" s="75"/>
      <c r="C787" s="75"/>
      <c r="D787" s="75"/>
      <c r="E787" s="75"/>
      <c r="F787" s="75"/>
      <c r="G787" s="75"/>
      <c r="H787" s="75"/>
      <c r="I787" s="75"/>
    </row>
    <row r="788" ht="14.25" customHeight="1">
      <c r="A788" s="106"/>
      <c r="B788" s="75"/>
      <c r="C788" s="75"/>
      <c r="D788" s="75"/>
      <c r="E788" s="75"/>
      <c r="F788" s="75"/>
      <c r="G788" s="75"/>
      <c r="H788" s="75"/>
      <c r="I788" s="75"/>
    </row>
    <row r="789" ht="14.25" customHeight="1">
      <c r="A789" s="106"/>
      <c r="B789" s="75"/>
      <c r="C789" s="75"/>
      <c r="D789" s="75"/>
      <c r="E789" s="75"/>
      <c r="F789" s="75"/>
      <c r="G789" s="75"/>
      <c r="H789" s="75"/>
      <c r="I789" s="75"/>
    </row>
    <row r="790" ht="14.25" customHeight="1">
      <c r="A790" s="106"/>
      <c r="B790" s="75"/>
      <c r="C790" s="75"/>
      <c r="D790" s="75"/>
      <c r="E790" s="75"/>
      <c r="F790" s="75"/>
      <c r="G790" s="75"/>
      <c r="H790" s="75"/>
      <c r="I790" s="75"/>
    </row>
    <row r="791" ht="14.25" customHeight="1">
      <c r="A791" s="106"/>
      <c r="B791" s="75"/>
      <c r="C791" s="75"/>
      <c r="D791" s="75"/>
      <c r="E791" s="75"/>
      <c r="F791" s="75"/>
      <c r="G791" s="75"/>
      <c r="H791" s="75"/>
      <c r="I791" s="75"/>
    </row>
    <row r="792" ht="14.25" customHeight="1">
      <c r="A792" s="106"/>
      <c r="B792" s="75"/>
      <c r="C792" s="75"/>
      <c r="D792" s="75"/>
      <c r="E792" s="75"/>
      <c r="F792" s="75"/>
      <c r="G792" s="75"/>
      <c r="H792" s="75"/>
      <c r="I792" s="75"/>
    </row>
    <row r="793" ht="14.25" customHeight="1">
      <c r="A793" s="106"/>
      <c r="B793" s="75"/>
      <c r="C793" s="75"/>
      <c r="D793" s="75"/>
      <c r="E793" s="75"/>
      <c r="F793" s="75"/>
      <c r="G793" s="75"/>
      <c r="H793" s="75"/>
      <c r="I793" s="75"/>
    </row>
    <row r="794" ht="14.25" customHeight="1">
      <c r="A794" s="106"/>
      <c r="B794" s="75"/>
      <c r="C794" s="75"/>
      <c r="D794" s="75"/>
      <c r="E794" s="75"/>
      <c r="F794" s="75"/>
      <c r="G794" s="75"/>
      <c r="H794" s="75"/>
      <c r="I794" s="75"/>
    </row>
    <row r="795" ht="14.25" customHeight="1">
      <c r="A795" s="106"/>
      <c r="B795" s="75"/>
      <c r="C795" s="75"/>
      <c r="D795" s="75"/>
      <c r="E795" s="75"/>
      <c r="F795" s="75"/>
      <c r="G795" s="75"/>
      <c r="H795" s="75"/>
      <c r="I795" s="75"/>
    </row>
    <row r="796" ht="14.25" customHeight="1">
      <c r="A796" s="106"/>
      <c r="B796" s="75"/>
      <c r="C796" s="75"/>
      <c r="D796" s="75"/>
      <c r="E796" s="75"/>
      <c r="F796" s="75"/>
      <c r="G796" s="75"/>
      <c r="H796" s="75"/>
      <c r="I796" s="75"/>
    </row>
    <row r="797" ht="14.25" customHeight="1">
      <c r="A797" s="106"/>
      <c r="B797" s="75"/>
      <c r="C797" s="75"/>
      <c r="D797" s="75"/>
      <c r="E797" s="75"/>
      <c r="F797" s="75"/>
      <c r="G797" s="75"/>
      <c r="H797" s="75"/>
      <c r="I797" s="75"/>
    </row>
    <row r="798" ht="14.25" customHeight="1">
      <c r="A798" s="106"/>
      <c r="B798" s="75"/>
      <c r="C798" s="75"/>
      <c r="D798" s="75"/>
      <c r="E798" s="75"/>
      <c r="F798" s="75"/>
      <c r="G798" s="75"/>
      <c r="H798" s="75"/>
      <c r="I798" s="75"/>
    </row>
    <row r="799" ht="14.25" customHeight="1">
      <c r="A799" s="106"/>
      <c r="B799" s="75"/>
      <c r="C799" s="75"/>
      <c r="D799" s="75"/>
      <c r="E799" s="75"/>
      <c r="F799" s="75"/>
      <c r="G799" s="75"/>
      <c r="H799" s="75"/>
      <c r="I799" s="75"/>
    </row>
    <row r="800" ht="14.25" customHeight="1">
      <c r="A800" s="106"/>
      <c r="B800" s="75"/>
      <c r="C800" s="75"/>
      <c r="D800" s="75"/>
      <c r="E800" s="75"/>
      <c r="F800" s="75"/>
      <c r="G800" s="75"/>
      <c r="H800" s="75"/>
      <c r="I800" s="75"/>
    </row>
    <row r="801" ht="14.25" customHeight="1">
      <c r="A801" s="106"/>
      <c r="B801" s="75"/>
      <c r="C801" s="75"/>
      <c r="D801" s="75"/>
      <c r="E801" s="75"/>
      <c r="F801" s="75"/>
      <c r="G801" s="75"/>
      <c r="H801" s="75"/>
      <c r="I801" s="75"/>
    </row>
    <row r="802" ht="14.25" customHeight="1">
      <c r="A802" s="106"/>
      <c r="B802" s="75"/>
      <c r="C802" s="75"/>
      <c r="D802" s="75"/>
      <c r="E802" s="75"/>
      <c r="F802" s="75"/>
      <c r="G802" s="75"/>
      <c r="H802" s="75"/>
      <c r="I802" s="75"/>
    </row>
    <row r="803" ht="14.25" customHeight="1">
      <c r="A803" s="106"/>
      <c r="B803" s="75"/>
      <c r="C803" s="75"/>
      <c r="D803" s="75"/>
      <c r="E803" s="75"/>
      <c r="F803" s="75"/>
      <c r="G803" s="75"/>
      <c r="H803" s="75"/>
      <c r="I803" s="75"/>
    </row>
    <row r="804" ht="14.25" customHeight="1">
      <c r="A804" s="106"/>
      <c r="B804" s="75"/>
      <c r="C804" s="75"/>
      <c r="D804" s="75"/>
      <c r="E804" s="75"/>
      <c r="F804" s="75"/>
      <c r="G804" s="75"/>
      <c r="H804" s="75"/>
      <c r="I804" s="75"/>
    </row>
    <row r="805" ht="14.25" customHeight="1">
      <c r="A805" s="106"/>
      <c r="B805" s="75"/>
      <c r="C805" s="75"/>
      <c r="D805" s="75"/>
      <c r="E805" s="75"/>
      <c r="F805" s="75"/>
      <c r="G805" s="75"/>
      <c r="H805" s="75"/>
      <c r="I805" s="75"/>
    </row>
    <row r="806" ht="14.25" customHeight="1">
      <c r="A806" s="106"/>
      <c r="B806" s="75"/>
      <c r="C806" s="75"/>
      <c r="D806" s="75"/>
      <c r="E806" s="75"/>
      <c r="F806" s="75"/>
      <c r="G806" s="75"/>
      <c r="H806" s="75"/>
      <c r="I806" s="75"/>
    </row>
    <row r="807" ht="14.25" customHeight="1">
      <c r="A807" s="106"/>
      <c r="B807" s="75"/>
      <c r="C807" s="75"/>
      <c r="D807" s="75"/>
      <c r="E807" s="75"/>
      <c r="F807" s="75"/>
      <c r="G807" s="75"/>
      <c r="H807" s="75"/>
      <c r="I807" s="75"/>
    </row>
    <row r="808" ht="14.25" customHeight="1">
      <c r="A808" s="106"/>
      <c r="B808" s="75"/>
      <c r="C808" s="75"/>
      <c r="D808" s="75"/>
      <c r="E808" s="75"/>
      <c r="F808" s="75"/>
      <c r="G808" s="75"/>
      <c r="H808" s="75"/>
      <c r="I808" s="75"/>
    </row>
    <row r="809" ht="14.25" customHeight="1">
      <c r="A809" s="106"/>
      <c r="B809" s="75"/>
      <c r="C809" s="75"/>
      <c r="D809" s="75"/>
      <c r="E809" s="75"/>
      <c r="F809" s="75"/>
      <c r="G809" s="75"/>
      <c r="H809" s="75"/>
      <c r="I809" s="75"/>
    </row>
    <row r="810" ht="14.25" customHeight="1">
      <c r="A810" s="106"/>
      <c r="B810" s="75"/>
      <c r="C810" s="75"/>
      <c r="D810" s="75"/>
      <c r="E810" s="75"/>
      <c r="F810" s="75"/>
      <c r="G810" s="75"/>
      <c r="H810" s="75"/>
      <c r="I810" s="75"/>
    </row>
    <row r="811" ht="14.25" customHeight="1">
      <c r="A811" s="106"/>
      <c r="B811" s="75"/>
      <c r="C811" s="75"/>
      <c r="D811" s="75"/>
      <c r="E811" s="75"/>
      <c r="F811" s="75"/>
      <c r="G811" s="75"/>
      <c r="H811" s="75"/>
      <c r="I811" s="75"/>
    </row>
    <row r="812" ht="14.25" customHeight="1">
      <c r="A812" s="106"/>
      <c r="B812" s="75"/>
      <c r="C812" s="75"/>
      <c r="D812" s="75"/>
      <c r="E812" s="75"/>
      <c r="F812" s="75"/>
      <c r="G812" s="75"/>
      <c r="H812" s="75"/>
      <c r="I812" s="75"/>
    </row>
    <row r="813" ht="14.25" customHeight="1">
      <c r="A813" s="106"/>
      <c r="B813" s="75"/>
      <c r="C813" s="75"/>
      <c r="D813" s="75"/>
      <c r="E813" s="75"/>
      <c r="F813" s="75"/>
      <c r="G813" s="75"/>
      <c r="H813" s="75"/>
      <c r="I813" s="75"/>
    </row>
    <row r="814" ht="14.25" customHeight="1">
      <c r="A814" s="106"/>
      <c r="B814" s="75"/>
      <c r="C814" s="75"/>
      <c r="D814" s="75"/>
      <c r="E814" s="75"/>
      <c r="F814" s="75"/>
      <c r="G814" s="75"/>
      <c r="H814" s="75"/>
      <c r="I814" s="75"/>
    </row>
    <row r="815" ht="14.25" customHeight="1">
      <c r="A815" s="106"/>
      <c r="B815" s="75"/>
      <c r="C815" s="75"/>
      <c r="D815" s="75"/>
      <c r="E815" s="75"/>
      <c r="F815" s="75"/>
      <c r="G815" s="75"/>
      <c r="H815" s="75"/>
      <c r="I815" s="75"/>
    </row>
    <row r="816" ht="14.25" customHeight="1">
      <c r="A816" s="106"/>
      <c r="B816" s="75"/>
      <c r="C816" s="75"/>
      <c r="D816" s="75"/>
      <c r="E816" s="75"/>
      <c r="F816" s="75"/>
      <c r="G816" s="75"/>
      <c r="H816" s="75"/>
      <c r="I816" s="75"/>
    </row>
    <row r="817" ht="14.25" customHeight="1">
      <c r="A817" s="106"/>
      <c r="B817" s="75"/>
      <c r="C817" s="75"/>
      <c r="D817" s="75"/>
      <c r="E817" s="75"/>
      <c r="F817" s="75"/>
      <c r="G817" s="75"/>
      <c r="H817" s="75"/>
      <c r="I817" s="75"/>
    </row>
    <row r="818" ht="14.25" customHeight="1">
      <c r="A818" s="106"/>
      <c r="B818" s="75"/>
      <c r="C818" s="75"/>
      <c r="D818" s="75"/>
      <c r="E818" s="75"/>
      <c r="F818" s="75"/>
      <c r="G818" s="75"/>
      <c r="H818" s="75"/>
      <c r="I818" s="75"/>
    </row>
    <row r="819" ht="14.25" customHeight="1">
      <c r="A819" s="106"/>
      <c r="B819" s="75"/>
      <c r="C819" s="75"/>
      <c r="D819" s="75"/>
      <c r="E819" s="75"/>
      <c r="F819" s="75"/>
      <c r="G819" s="75"/>
      <c r="H819" s="75"/>
      <c r="I819" s="75"/>
    </row>
    <row r="820" ht="14.25" customHeight="1">
      <c r="A820" s="106"/>
      <c r="B820" s="75"/>
      <c r="C820" s="75"/>
      <c r="D820" s="75"/>
      <c r="E820" s="75"/>
      <c r="F820" s="75"/>
      <c r="G820" s="75"/>
      <c r="H820" s="75"/>
      <c r="I820" s="75"/>
    </row>
    <row r="821" ht="14.25" customHeight="1">
      <c r="A821" s="106"/>
      <c r="B821" s="75"/>
      <c r="C821" s="75"/>
      <c r="D821" s="75"/>
      <c r="E821" s="75"/>
      <c r="F821" s="75"/>
      <c r="G821" s="75"/>
      <c r="H821" s="75"/>
      <c r="I821" s="75"/>
    </row>
    <row r="822" ht="14.25" customHeight="1">
      <c r="A822" s="106"/>
      <c r="B822" s="75"/>
      <c r="C822" s="75"/>
      <c r="D822" s="75"/>
      <c r="E822" s="75"/>
      <c r="F822" s="75"/>
      <c r="G822" s="75"/>
      <c r="H822" s="75"/>
      <c r="I822" s="75"/>
    </row>
    <row r="823" ht="14.25" customHeight="1">
      <c r="A823" s="106"/>
      <c r="B823" s="75"/>
      <c r="C823" s="75"/>
      <c r="D823" s="75"/>
      <c r="E823" s="75"/>
      <c r="F823" s="75"/>
      <c r="G823" s="75"/>
      <c r="H823" s="75"/>
      <c r="I823" s="75"/>
    </row>
    <row r="824" ht="14.25" customHeight="1">
      <c r="A824" s="106"/>
      <c r="B824" s="75"/>
      <c r="C824" s="75"/>
      <c r="D824" s="75"/>
      <c r="E824" s="75"/>
      <c r="F824" s="75"/>
      <c r="G824" s="75"/>
      <c r="H824" s="75"/>
      <c r="I824" s="75"/>
    </row>
    <row r="825" ht="14.25" customHeight="1">
      <c r="A825" s="106"/>
      <c r="B825" s="75"/>
      <c r="C825" s="75"/>
      <c r="D825" s="75"/>
      <c r="E825" s="75"/>
      <c r="F825" s="75"/>
      <c r="G825" s="75"/>
      <c r="H825" s="75"/>
      <c r="I825" s="75"/>
    </row>
    <row r="826" ht="14.25" customHeight="1">
      <c r="A826" s="106"/>
      <c r="B826" s="75"/>
      <c r="C826" s="75"/>
      <c r="D826" s="75"/>
      <c r="E826" s="75"/>
      <c r="F826" s="75"/>
      <c r="G826" s="75"/>
      <c r="H826" s="75"/>
      <c r="I826" s="75"/>
    </row>
    <row r="827" ht="14.25" customHeight="1">
      <c r="A827" s="106"/>
      <c r="B827" s="75"/>
      <c r="C827" s="75"/>
      <c r="D827" s="75"/>
      <c r="E827" s="75"/>
      <c r="F827" s="75"/>
      <c r="G827" s="75"/>
      <c r="H827" s="75"/>
      <c r="I827" s="75"/>
    </row>
    <row r="828" ht="14.25" customHeight="1">
      <c r="A828" s="106"/>
      <c r="B828" s="75"/>
      <c r="C828" s="75"/>
      <c r="D828" s="75"/>
      <c r="E828" s="75"/>
      <c r="F828" s="75"/>
      <c r="G828" s="75"/>
      <c r="H828" s="75"/>
      <c r="I828" s="75"/>
    </row>
    <row r="829" ht="14.25" customHeight="1">
      <c r="A829" s="106"/>
      <c r="B829" s="75"/>
      <c r="C829" s="75"/>
      <c r="D829" s="75"/>
      <c r="E829" s="75"/>
      <c r="F829" s="75"/>
      <c r="G829" s="75"/>
      <c r="H829" s="75"/>
      <c r="I829" s="75"/>
    </row>
    <row r="830" ht="14.25" customHeight="1">
      <c r="A830" s="106"/>
      <c r="B830" s="75"/>
      <c r="C830" s="75"/>
      <c r="D830" s="75"/>
      <c r="E830" s="75"/>
      <c r="F830" s="75"/>
      <c r="G830" s="75"/>
      <c r="H830" s="75"/>
      <c r="I830" s="75"/>
    </row>
    <row r="831" ht="14.25" customHeight="1">
      <c r="A831" s="106"/>
      <c r="B831" s="75"/>
      <c r="C831" s="75"/>
      <c r="D831" s="75"/>
      <c r="E831" s="75"/>
      <c r="F831" s="75"/>
      <c r="G831" s="75"/>
      <c r="H831" s="75"/>
      <c r="I831" s="75"/>
    </row>
    <row r="832" ht="14.25" customHeight="1">
      <c r="A832" s="106"/>
      <c r="B832" s="75"/>
      <c r="C832" s="75"/>
      <c r="D832" s="75"/>
      <c r="E832" s="75"/>
      <c r="F832" s="75"/>
      <c r="G832" s="75"/>
      <c r="H832" s="75"/>
      <c r="I832" s="75"/>
    </row>
    <row r="833" ht="14.25" customHeight="1">
      <c r="A833" s="106"/>
      <c r="B833" s="75"/>
      <c r="C833" s="75"/>
      <c r="D833" s="75"/>
      <c r="E833" s="75"/>
      <c r="F833" s="75"/>
      <c r="G833" s="75"/>
      <c r="H833" s="75"/>
      <c r="I833" s="75"/>
    </row>
    <row r="834" ht="14.25" customHeight="1">
      <c r="A834" s="106"/>
      <c r="B834" s="75"/>
      <c r="C834" s="75"/>
      <c r="D834" s="75"/>
      <c r="E834" s="75"/>
      <c r="F834" s="75"/>
      <c r="G834" s="75"/>
      <c r="H834" s="75"/>
      <c r="I834" s="75"/>
    </row>
    <row r="835" ht="14.25" customHeight="1">
      <c r="A835" s="106"/>
      <c r="B835" s="75"/>
      <c r="C835" s="75"/>
      <c r="D835" s="75"/>
      <c r="E835" s="75"/>
      <c r="F835" s="75"/>
      <c r="G835" s="75"/>
      <c r="H835" s="75"/>
      <c r="I835" s="75"/>
    </row>
    <row r="836" ht="14.25" customHeight="1">
      <c r="A836" s="106"/>
      <c r="B836" s="75"/>
      <c r="C836" s="75"/>
      <c r="D836" s="75"/>
      <c r="E836" s="75"/>
      <c r="F836" s="75"/>
      <c r="G836" s="75"/>
      <c r="H836" s="75"/>
      <c r="I836" s="75"/>
    </row>
    <row r="837" ht="14.25" customHeight="1">
      <c r="A837" s="106"/>
      <c r="B837" s="75"/>
      <c r="C837" s="75"/>
      <c r="D837" s="75"/>
      <c r="E837" s="75"/>
      <c r="F837" s="75"/>
      <c r="G837" s="75"/>
      <c r="H837" s="75"/>
      <c r="I837" s="75"/>
    </row>
    <row r="838" ht="14.25" customHeight="1">
      <c r="A838" s="106"/>
      <c r="B838" s="75"/>
      <c r="C838" s="75"/>
      <c r="D838" s="75"/>
      <c r="E838" s="75"/>
      <c r="F838" s="75"/>
      <c r="G838" s="75"/>
      <c r="H838" s="75"/>
      <c r="I838" s="75"/>
    </row>
    <row r="839" ht="14.25" customHeight="1">
      <c r="A839" s="106"/>
      <c r="B839" s="75"/>
      <c r="C839" s="75"/>
      <c r="D839" s="75"/>
      <c r="E839" s="75"/>
      <c r="F839" s="75"/>
      <c r="G839" s="75"/>
      <c r="H839" s="75"/>
      <c r="I839" s="75"/>
    </row>
    <row r="840" ht="14.25" customHeight="1">
      <c r="A840" s="106"/>
      <c r="B840" s="75"/>
      <c r="C840" s="75"/>
      <c r="D840" s="75"/>
      <c r="E840" s="75"/>
      <c r="F840" s="75"/>
      <c r="G840" s="75"/>
      <c r="H840" s="75"/>
      <c r="I840" s="75"/>
    </row>
    <row r="841" ht="14.25" customHeight="1">
      <c r="A841" s="106"/>
      <c r="B841" s="75"/>
      <c r="C841" s="75"/>
      <c r="D841" s="75"/>
      <c r="E841" s="75"/>
      <c r="F841" s="75"/>
      <c r="G841" s="75"/>
      <c r="H841" s="75"/>
      <c r="I841" s="75"/>
    </row>
    <row r="842" ht="14.25" customHeight="1">
      <c r="A842" s="106"/>
      <c r="B842" s="75"/>
      <c r="C842" s="75"/>
      <c r="D842" s="75"/>
      <c r="E842" s="75"/>
      <c r="F842" s="75"/>
      <c r="G842" s="75"/>
      <c r="H842" s="75"/>
      <c r="I842" s="75"/>
    </row>
    <row r="843" ht="14.25" customHeight="1">
      <c r="A843" s="106"/>
      <c r="B843" s="75"/>
      <c r="C843" s="75"/>
      <c r="D843" s="75"/>
      <c r="E843" s="75"/>
      <c r="F843" s="75"/>
      <c r="G843" s="75"/>
      <c r="H843" s="75"/>
      <c r="I843" s="75"/>
    </row>
    <row r="844" ht="14.25" customHeight="1">
      <c r="A844" s="106"/>
      <c r="B844" s="75"/>
      <c r="C844" s="75"/>
      <c r="D844" s="75"/>
      <c r="E844" s="75"/>
      <c r="F844" s="75"/>
      <c r="G844" s="75"/>
      <c r="H844" s="75"/>
      <c r="I844" s="75"/>
    </row>
    <row r="845" ht="14.25" customHeight="1">
      <c r="A845" s="106"/>
      <c r="B845" s="75"/>
      <c r="C845" s="75"/>
      <c r="D845" s="75"/>
      <c r="E845" s="75"/>
      <c r="F845" s="75"/>
      <c r="G845" s="75"/>
      <c r="H845" s="75"/>
      <c r="I845" s="75"/>
    </row>
    <row r="846" ht="14.25" customHeight="1">
      <c r="A846" s="106"/>
      <c r="B846" s="75"/>
      <c r="C846" s="75"/>
      <c r="D846" s="75"/>
      <c r="E846" s="75"/>
      <c r="F846" s="75"/>
      <c r="G846" s="75"/>
      <c r="H846" s="75"/>
      <c r="I846" s="75"/>
    </row>
    <row r="847" ht="14.25" customHeight="1">
      <c r="A847" s="106"/>
      <c r="B847" s="75"/>
      <c r="C847" s="75"/>
      <c r="D847" s="75"/>
      <c r="E847" s="75"/>
      <c r="F847" s="75"/>
      <c r="G847" s="75"/>
      <c r="H847" s="75"/>
      <c r="I847" s="75"/>
    </row>
    <row r="848" ht="14.25" customHeight="1">
      <c r="A848" s="106"/>
      <c r="B848" s="75"/>
      <c r="C848" s="75"/>
      <c r="D848" s="75"/>
      <c r="E848" s="75"/>
      <c r="F848" s="75"/>
      <c r="G848" s="75"/>
      <c r="H848" s="75"/>
      <c r="I848" s="75"/>
    </row>
    <row r="849" ht="14.25" customHeight="1">
      <c r="A849" s="106"/>
      <c r="B849" s="75"/>
      <c r="C849" s="75"/>
      <c r="D849" s="75"/>
      <c r="E849" s="75"/>
      <c r="F849" s="75"/>
      <c r="G849" s="75"/>
      <c r="H849" s="75"/>
      <c r="I849" s="75"/>
    </row>
    <row r="850" ht="14.25" customHeight="1">
      <c r="A850" s="106"/>
      <c r="B850" s="75"/>
      <c r="C850" s="75"/>
      <c r="D850" s="75"/>
      <c r="E850" s="75"/>
      <c r="F850" s="75"/>
      <c r="G850" s="75"/>
      <c r="H850" s="75"/>
      <c r="I850" s="75"/>
    </row>
    <row r="851" ht="14.25" customHeight="1">
      <c r="A851" s="106"/>
      <c r="B851" s="75"/>
      <c r="C851" s="75"/>
      <c r="D851" s="75"/>
      <c r="E851" s="75"/>
      <c r="F851" s="75"/>
      <c r="G851" s="75"/>
      <c r="H851" s="75"/>
      <c r="I851" s="75"/>
    </row>
    <row r="852" ht="14.25" customHeight="1">
      <c r="A852" s="106"/>
      <c r="B852" s="75"/>
      <c r="C852" s="75"/>
      <c r="D852" s="75"/>
      <c r="E852" s="75"/>
      <c r="F852" s="75"/>
      <c r="G852" s="75"/>
      <c r="H852" s="75"/>
      <c r="I852" s="75"/>
    </row>
    <row r="853" ht="14.25" customHeight="1">
      <c r="A853" s="106"/>
      <c r="B853" s="75"/>
      <c r="C853" s="75"/>
      <c r="D853" s="75"/>
      <c r="E853" s="75"/>
      <c r="F853" s="75"/>
      <c r="G853" s="75"/>
      <c r="H853" s="75"/>
      <c r="I853" s="75"/>
    </row>
    <row r="854" ht="14.25" customHeight="1">
      <c r="A854" s="106"/>
      <c r="B854" s="75"/>
      <c r="C854" s="75"/>
      <c r="D854" s="75"/>
      <c r="E854" s="75"/>
      <c r="F854" s="75"/>
      <c r="G854" s="75"/>
      <c r="H854" s="75"/>
      <c r="I854" s="75"/>
    </row>
    <row r="855" ht="14.25" customHeight="1">
      <c r="A855" s="106"/>
      <c r="B855" s="75"/>
      <c r="C855" s="75"/>
      <c r="D855" s="75"/>
      <c r="E855" s="75"/>
      <c r="F855" s="75"/>
      <c r="G855" s="75"/>
      <c r="H855" s="75"/>
      <c r="I855" s="75"/>
    </row>
    <row r="856" ht="14.25" customHeight="1">
      <c r="A856" s="106"/>
      <c r="B856" s="75"/>
      <c r="C856" s="75"/>
      <c r="D856" s="75"/>
      <c r="E856" s="75"/>
      <c r="F856" s="75"/>
      <c r="G856" s="75"/>
      <c r="H856" s="75"/>
      <c r="I856" s="75"/>
    </row>
    <row r="857" ht="14.25" customHeight="1">
      <c r="A857" s="106"/>
      <c r="B857" s="75"/>
      <c r="C857" s="75"/>
      <c r="D857" s="75"/>
      <c r="E857" s="75"/>
      <c r="F857" s="75"/>
      <c r="G857" s="75"/>
      <c r="H857" s="75"/>
      <c r="I857" s="75"/>
    </row>
    <row r="858" ht="14.25" customHeight="1">
      <c r="A858" s="106"/>
      <c r="B858" s="75"/>
      <c r="C858" s="75"/>
      <c r="D858" s="75"/>
      <c r="E858" s="75"/>
      <c r="F858" s="75"/>
      <c r="G858" s="75"/>
      <c r="H858" s="75"/>
      <c r="I858" s="75"/>
    </row>
    <row r="859" ht="14.25" customHeight="1">
      <c r="A859" s="106"/>
      <c r="B859" s="75"/>
      <c r="C859" s="75"/>
      <c r="D859" s="75"/>
      <c r="E859" s="75"/>
      <c r="F859" s="75"/>
      <c r="G859" s="75"/>
      <c r="H859" s="75"/>
      <c r="I859" s="75"/>
    </row>
    <row r="860" ht="14.25" customHeight="1">
      <c r="A860" s="106"/>
      <c r="B860" s="75"/>
      <c r="C860" s="75"/>
      <c r="D860" s="75"/>
      <c r="E860" s="75"/>
      <c r="F860" s="75"/>
      <c r="G860" s="75"/>
      <c r="H860" s="75"/>
      <c r="I860" s="75"/>
    </row>
    <row r="861" ht="14.25" customHeight="1">
      <c r="A861" s="106"/>
      <c r="B861" s="75"/>
      <c r="C861" s="75"/>
      <c r="D861" s="75"/>
      <c r="E861" s="75"/>
      <c r="F861" s="75"/>
      <c r="G861" s="75"/>
      <c r="H861" s="75"/>
      <c r="I861" s="75"/>
    </row>
    <row r="862" ht="14.25" customHeight="1">
      <c r="A862" s="106"/>
      <c r="B862" s="75"/>
      <c r="C862" s="75"/>
      <c r="D862" s="75"/>
      <c r="E862" s="75"/>
      <c r="F862" s="75"/>
      <c r="G862" s="75"/>
      <c r="H862" s="75"/>
      <c r="I862" s="75"/>
    </row>
    <row r="863" ht="14.25" customHeight="1">
      <c r="A863" s="106"/>
      <c r="B863" s="75"/>
      <c r="C863" s="75"/>
      <c r="D863" s="75"/>
      <c r="E863" s="75"/>
      <c r="F863" s="75"/>
      <c r="G863" s="75"/>
      <c r="H863" s="75"/>
      <c r="I863" s="75"/>
    </row>
    <row r="864" ht="14.25" customHeight="1">
      <c r="A864" s="106"/>
      <c r="B864" s="75"/>
      <c r="C864" s="75"/>
      <c r="D864" s="75"/>
      <c r="E864" s="75"/>
      <c r="F864" s="75"/>
      <c r="G864" s="75"/>
      <c r="H864" s="75"/>
      <c r="I864" s="75"/>
    </row>
    <row r="865" ht="14.25" customHeight="1">
      <c r="A865" s="106"/>
      <c r="B865" s="75"/>
      <c r="C865" s="75"/>
      <c r="D865" s="75"/>
      <c r="E865" s="75"/>
      <c r="F865" s="75"/>
      <c r="G865" s="75"/>
      <c r="H865" s="75"/>
      <c r="I865" s="75"/>
    </row>
    <row r="866" ht="14.25" customHeight="1">
      <c r="A866" s="106"/>
      <c r="B866" s="75"/>
      <c r="C866" s="75"/>
      <c r="D866" s="75"/>
      <c r="E866" s="75"/>
      <c r="F866" s="75"/>
      <c r="G866" s="75"/>
      <c r="H866" s="75"/>
      <c r="I866" s="75"/>
    </row>
    <row r="867" ht="14.25" customHeight="1">
      <c r="A867" s="106"/>
      <c r="B867" s="75"/>
      <c r="C867" s="75"/>
      <c r="D867" s="75"/>
      <c r="E867" s="75"/>
      <c r="F867" s="75"/>
      <c r="G867" s="75"/>
      <c r="H867" s="75"/>
      <c r="I867" s="75"/>
    </row>
    <row r="868" ht="14.25" customHeight="1">
      <c r="A868" s="106"/>
      <c r="B868" s="75"/>
      <c r="C868" s="75"/>
      <c r="D868" s="75"/>
      <c r="E868" s="75"/>
      <c r="F868" s="75"/>
      <c r="G868" s="75"/>
      <c r="H868" s="75"/>
      <c r="I868" s="75"/>
    </row>
    <row r="869" ht="14.25" customHeight="1">
      <c r="A869" s="106"/>
      <c r="B869" s="75"/>
      <c r="C869" s="75"/>
      <c r="D869" s="75"/>
      <c r="E869" s="75"/>
      <c r="F869" s="75"/>
      <c r="G869" s="75"/>
      <c r="H869" s="75"/>
      <c r="I869" s="75"/>
    </row>
    <row r="870" ht="14.25" customHeight="1">
      <c r="A870" s="106"/>
      <c r="B870" s="75"/>
      <c r="C870" s="75"/>
      <c r="D870" s="75"/>
      <c r="E870" s="75"/>
      <c r="F870" s="75"/>
      <c r="G870" s="75"/>
      <c r="H870" s="75"/>
      <c r="I870" s="75"/>
    </row>
    <row r="871" ht="14.25" customHeight="1">
      <c r="A871" s="106"/>
      <c r="B871" s="75"/>
      <c r="C871" s="75"/>
      <c r="D871" s="75"/>
      <c r="E871" s="75"/>
      <c r="F871" s="75"/>
      <c r="G871" s="75"/>
      <c r="H871" s="75"/>
      <c r="I871" s="75"/>
    </row>
    <row r="872" ht="14.25" customHeight="1">
      <c r="A872" s="106"/>
      <c r="B872" s="75"/>
      <c r="C872" s="75"/>
      <c r="D872" s="75"/>
      <c r="E872" s="75"/>
      <c r="F872" s="75"/>
      <c r="G872" s="75"/>
      <c r="H872" s="75"/>
      <c r="I872" s="75"/>
    </row>
    <row r="873" ht="14.25" customHeight="1">
      <c r="A873" s="106"/>
      <c r="B873" s="75"/>
      <c r="C873" s="75"/>
      <c r="D873" s="75"/>
      <c r="E873" s="75"/>
      <c r="F873" s="75"/>
      <c r="G873" s="75"/>
      <c r="H873" s="75"/>
      <c r="I873" s="75"/>
    </row>
    <row r="874" ht="14.25" customHeight="1">
      <c r="A874" s="106"/>
      <c r="B874" s="75"/>
      <c r="C874" s="75"/>
      <c r="D874" s="75"/>
      <c r="E874" s="75"/>
      <c r="F874" s="75"/>
      <c r="G874" s="75"/>
      <c r="H874" s="75"/>
      <c r="I874" s="75"/>
    </row>
    <row r="875" ht="14.25" customHeight="1">
      <c r="A875" s="106"/>
      <c r="B875" s="75"/>
      <c r="C875" s="75"/>
      <c r="D875" s="75"/>
      <c r="E875" s="75"/>
      <c r="F875" s="75"/>
      <c r="G875" s="75"/>
      <c r="H875" s="75"/>
      <c r="I875" s="75"/>
    </row>
    <row r="876" ht="14.25" customHeight="1">
      <c r="A876" s="106"/>
      <c r="B876" s="75"/>
      <c r="C876" s="75"/>
      <c r="D876" s="75"/>
      <c r="E876" s="75"/>
      <c r="F876" s="75"/>
      <c r="G876" s="75"/>
      <c r="H876" s="75"/>
      <c r="I876" s="75"/>
    </row>
    <row r="877" ht="14.25" customHeight="1">
      <c r="A877" s="106"/>
      <c r="B877" s="75"/>
      <c r="C877" s="75"/>
      <c r="D877" s="75"/>
      <c r="E877" s="75"/>
      <c r="F877" s="75"/>
      <c r="G877" s="75"/>
      <c r="H877" s="75"/>
      <c r="I877" s="75"/>
    </row>
    <row r="878" ht="14.25" customHeight="1">
      <c r="A878" s="106"/>
      <c r="B878" s="75"/>
      <c r="C878" s="75"/>
      <c r="D878" s="75"/>
      <c r="E878" s="75"/>
      <c r="F878" s="75"/>
      <c r="G878" s="75"/>
      <c r="H878" s="75"/>
      <c r="I878" s="75"/>
    </row>
    <row r="879" ht="14.25" customHeight="1">
      <c r="A879" s="106"/>
      <c r="B879" s="75"/>
      <c r="C879" s="75"/>
      <c r="D879" s="75"/>
      <c r="E879" s="75"/>
      <c r="F879" s="75"/>
      <c r="G879" s="75"/>
      <c r="H879" s="75"/>
      <c r="I879" s="75"/>
    </row>
    <row r="880" ht="14.25" customHeight="1">
      <c r="A880" s="106"/>
      <c r="B880" s="75"/>
      <c r="C880" s="75"/>
      <c r="D880" s="75"/>
      <c r="E880" s="75"/>
      <c r="F880" s="75"/>
      <c r="G880" s="75"/>
      <c r="H880" s="75"/>
      <c r="I880" s="75"/>
    </row>
    <row r="881" ht="14.25" customHeight="1">
      <c r="A881" s="106"/>
      <c r="B881" s="75"/>
      <c r="C881" s="75"/>
      <c r="D881" s="75"/>
      <c r="E881" s="75"/>
      <c r="F881" s="75"/>
      <c r="G881" s="75"/>
      <c r="H881" s="75"/>
      <c r="I881" s="75"/>
    </row>
    <row r="882" ht="14.25" customHeight="1">
      <c r="A882" s="106"/>
      <c r="B882" s="75"/>
      <c r="C882" s="75"/>
      <c r="D882" s="75"/>
      <c r="E882" s="75"/>
      <c r="F882" s="75"/>
      <c r="G882" s="75"/>
      <c r="H882" s="75"/>
      <c r="I882" s="75"/>
    </row>
    <row r="883" ht="14.25" customHeight="1">
      <c r="A883" s="106"/>
      <c r="B883" s="75"/>
      <c r="C883" s="75"/>
      <c r="D883" s="75"/>
      <c r="E883" s="75"/>
      <c r="F883" s="75"/>
      <c r="G883" s="75"/>
      <c r="H883" s="75"/>
      <c r="I883" s="75"/>
    </row>
    <row r="884" ht="14.25" customHeight="1">
      <c r="A884" s="106"/>
      <c r="B884" s="75"/>
      <c r="C884" s="75"/>
      <c r="D884" s="75"/>
      <c r="E884" s="75"/>
      <c r="F884" s="75"/>
      <c r="G884" s="75"/>
      <c r="H884" s="75"/>
      <c r="I884" s="75"/>
    </row>
    <row r="885" ht="14.25" customHeight="1">
      <c r="A885" s="106"/>
      <c r="B885" s="75"/>
      <c r="C885" s="75"/>
      <c r="D885" s="75"/>
      <c r="E885" s="75"/>
      <c r="F885" s="75"/>
      <c r="G885" s="75"/>
      <c r="H885" s="75"/>
      <c r="I885" s="75"/>
    </row>
    <row r="886" ht="14.25" customHeight="1">
      <c r="A886" s="106"/>
      <c r="B886" s="75"/>
      <c r="C886" s="75"/>
      <c r="D886" s="75"/>
      <c r="E886" s="75"/>
      <c r="F886" s="75"/>
      <c r="G886" s="75"/>
      <c r="H886" s="75"/>
      <c r="I886" s="75"/>
    </row>
    <row r="887" ht="14.25" customHeight="1">
      <c r="A887" s="106"/>
      <c r="B887" s="75"/>
      <c r="C887" s="75"/>
      <c r="D887" s="75"/>
      <c r="E887" s="75"/>
      <c r="F887" s="75"/>
      <c r="G887" s="75"/>
      <c r="H887" s="75"/>
      <c r="I887" s="75"/>
    </row>
    <row r="888" ht="14.25" customHeight="1">
      <c r="A888" s="106"/>
      <c r="B888" s="75"/>
      <c r="C888" s="75"/>
      <c r="D888" s="75"/>
      <c r="E888" s="75"/>
      <c r="F888" s="75"/>
      <c r="G888" s="75"/>
      <c r="H888" s="75"/>
      <c r="I888" s="75"/>
    </row>
    <row r="889" ht="14.25" customHeight="1">
      <c r="A889" s="106"/>
      <c r="B889" s="75"/>
      <c r="C889" s="75"/>
      <c r="D889" s="75"/>
      <c r="E889" s="75"/>
      <c r="F889" s="75"/>
      <c r="G889" s="75"/>
      <c r="H889" s="75"/>
      <c r="I889" s="75"/>
    </row>
    <row r="890" ht="14.25" customHeight="1">
      <c r="A890" s="106"/>
      <c r="B890" s="75"/>
      <c r="C890" s="75"/>
      <c r="D890" s="75"/>
      <c r="E890" s="75"/>
      <c r="F890" s="75"/>
      <c r="G890" s="75"/>
      <c r="H890" s="75"/>
      <c r="I890" s="75"/>
    </row>
    <row r="891" ht="14.25" customHeight="1">
      <c r="A891" s="106"/>
      <c r="B891" s="75"/>
      <c r="C891" s="75"/>
      <c r="D891" s="75"/>
      <c r="E891" s="75"/>
      <c r="F891" s="75"/>
      <c r="G891" s="75"/>
      <c r="H891" s="75"/>
      <c r="I891" s="75"/>
    </row>
    <row r="892" ht="14.25" customHeight="1">
      <c r="A892" s="106"/>
      <c r="B892" s="75"/>
      <c r="C892" s="75"/>
      <c r="D892" s="75"/>
      <c r="E892" s="75"/>
      <c r="F892" s="75"/>
      <c r="G892" s="75"/>
      <c r="H892" s="75"/>
      <c r="I892" s="75"/>
    </row>
    <row r="893" ht="14.25" customHeight="1">
      <c r="A893" s="106"/>
      <c r="B893" s="75"/>
      <c r="C893" s="75"/>
      <c r="D893" s="75"/>
      <c r="E893" s="75"/>
      <c r="F893" s="75"/>
      <c r="G893" s="75"/>
      <c r="H893" s="75"/>
      <c r="I893" s="75"/>
    </row>
    <row r="894" ht="14.25" customHeight="1">
      <c r="A894" s="106"/>
      <c r="B894" s="75"/>
      <c r="C894" s="75"/>
      <c r="D894" s="75"/>
      <c r="E894" s="75"/>
      <c r="F894" s="75"/>
      <c r="G894" s="75"/>
      <c r="H894" s="75"/>
      <c r="I894" s="75"/>
    </row>
    <row r="895" ht="14.25" customHeight="1">
      <c r="A895" s="106"/>
      <c r="B895" s="75"/>
      <c r="C895" s="75"/>
      <c r="D895" s="75"/>
      <c r="E895" s="75"/>
      <c r="F895" s="75"/>
      <c r="G895" s="75"/>
      <c r="H895" s="75"/>
      <c r="I895" s="75"/>
    </row>
    <row r="896" ht="14.25" customHeight="1">
      <c r="A896" s="106"/>
      <c r="B896" s="75"/>
      <c r="C896" s="75"/>
      <c r="D896" s="75"/>
      <c r="E896" s="75"/>
      <c r="F896" s="75"/>
      <c r="G896" s="75"/>
      <c r="H896" s="75"/>
      <c r="I896" s="75"/>
    </row>
    <row r="897" ht="14.25" customHeight="1">
      <c r="A897" s="106"/>
      <c r="B897" s="75"/>
      <c r="C897" s="75"/>
      <c r="D897" s="75"/>
      <c r="E897" s="75"/>
      <c r="F897" s="75"/>
      <c r="G897" s="75"/>
      <c r="H897" s="75"/>
      <c r="I897" s="75"/>
    </row>
    <row r="898" ht="14.25" customHeight="1">
      <c r="A898" s="106"/>
      <c r="B898" s="75"/>
      <c r="C898" s="75"/>
      <c r="D898" s="75"/>
      <c r="E898" s="75"/>
      <c r="F898" s="75"/>
      <c r="G898" s="75"/>
      <c r="H898" s="75"/>
      <c r="I898" s="75"/>
    </row>
    <row r="899" ht="14.25" customHeight="1">
      <c r="A899" s="106"/>
      <c r="B899" s="75"/>
      <c r="C899" s="75"/>
      <c r="D899" s="75"/>
      <c r="E899" s="75"/>
      <c r="F899" s="75"/>
      <c r="G899" s="75"/>
      <c r="H899" s="75"/>
      <c r="I899" s="75"/>
    </row>
    <row r="900" ht="14.25" customHeight="1">
      <c r="A900" s="106"/>
      <c r="B900" s="75"/>
      <c r="C900" s="75"/>
      <c r="D900" s="75"/>
      <c r="E900" s="75"/>
      <c r="F900" s="75"/>
      <c r="G900" s="75"/>
      <c r="H900" s="75"/>
      <c r="I900" s="75"/>
    </row>
    <row r="901" ht="14.25" customHeight="1">
      <c r="A901" s="106"/>
      <c r="B901" s="75"/>
      <c r="C901" s="75"/>
      <c r="D901" s="75"/>
      <c r="E901" s="75"/>
      <c r="F901" s="75"/>
      <c r="G901" s="75"/>
      <c r="H901" s="75"/>
      <c r="I901" s="75"/>
    </row>
    <row r="902" ht="14.25" customHeight="1">
      <c r="A902" s="106"/>
      <c r="B902" s="75"/>
      <c r="C902" s="75"/>
      <c r="D902" s="75"/>
      <c r="E902" s="75"/>
      <c r="F902" s="75"/>
      <c r="G902" s="75"/>
      <c r="H902" s="75"/>
      <c r="I902" s="75"/>
    </row>
    <row r="903" ht="14.25" customHeight="1">
      <c r="A903" s="106"/>
      <c r="B903" s="75"/>
      <c r="C903" s="75"/>
      <c r="D903" s="75"/>
      <c r="E903" s="75"/>
      <c r="F903" s="75"/>
      <c r="G903" s="75"/>
      <c r="H903" s="75"/>
      <c r="I903" s="75"/>
    </row>
    <row r="904" ht="14.25" customHeight="1">
      <c r="A904" s="106"/>
      <c r="B904" s="75"/>
      <c r="C904" s="75"/>
      <c r="D904" s="75"/>
      <c r="E904" s="75"/>
      <c r="F904" s="75"/>
      <c r="G904" s="75"/>
      <c r="H904" s="75"/>
      <c r="I904" s="75"/>
    </row>
    <row r="905" ht="14.25" customHeight="1">
      <c r="A905" s="106"/>
      <c r="B905" s="75"/>
      <c r="C905" s="75"/>
      <c r="D905" s="75"/>
      <c r="E905" s="75"/>
      <c r="F905" s="75"/>
      <c r="G905" s="75"/>
      <c r="H905" s="75"/>
      <c r="I905" s="75"/>
    </row>
    <row r="906" ht="14.25" customHeight="1">
      <c r="A906" s="106"/>
      <c r="B906" s="75"/>
      <c r="C906" s="75"/>
      <c r="D906" s="75"/>
      <c r="E906" s="75"/>
      <c r="F906" s="75"/>
      <c r="G906" s="75"/>
      <c r="H906" s="75"/>
      <c r="I906" s="75"/>
    </row>
    <row r="907" ht="14.25" customHeight="1">
      <c r="A907" s="106"/>
      <c r="B907" s="75"/>
      <c r="C907" s="75"/>
      <c r="D907" s="75"/>
      <c r="E907" s="75"/>
      <c r="F907" s="75"/>
      <c r="G907" s="75"/>
      <c r="H907" s="75"/>
      <c r="I907" s="75"/>
    </row>
    <row r="908" ht="14.25" customHeight="1">
      <c r="A908" s="106"/>
      <c r="B908" s="75"/>
      <c r="C908" s="75"/>
      <c r="D908" s="75"/>
      <c r="E908" s="75"/>
      <c r="F908" s="75"/>
      <c r="G908" s="75"/>
      <c r="H908" s="75"/>
      <c r="I908" s="75"/>
    </row>
    <row r="909" ht="14.25" customHeight="1">
      <c r="A909" s="106"/>
      <c r="B909" s="75"/>
      <c r="C909" s="75"/>
      <c r="D909" s="75"/>
      <c r="E909" s="75"/>
      <c r="F909" s="75"/>
      <c r="G909" s="75"/>
      <c r="H909" s="75"/>
      <c r="I909" s="75"/>
    </row>
    <row r="910" ht="14.25" customHeight="1">
      <c r="A910" s="106"/>
      <c r="B910" s="75"/>
      <c r="C910" s="75"/>
      <c r="D910" s="75"/>
      <c r="E910" s="75"/>
      <c r="F910" s="75"/>
      <c r="G910" s="75"/>
      <c r="H910" s="75"/>
      <c r="I910" s="75"/>
    </row>
    <row r="911" ht="14.25" customHeight="1">
      <c r="A911" s="106"/>
      <c r="B911" s="75"/>
      <c r="C911" s="75"/>
      <c r="D911" s="75"/>
      <c r="E911" s="75"/>
      <c r="F911" s="75"/>
      <c r="G911" s="75"/>
      <c r="H911" s="75"/>
      <c r="I911" s="75"/>
    </row>
    <row r="912" ht="14.25" customHeight="1">
      <c r="A912" s="106"/>
      <c r="B912" s="75"/>
      <c r="C912" s="75"/>
      <c r="D912" s="75"/>
      <c r="E912" s="75"/>
      <c r="F912" s="75"/>
      <c r="G912" s="75"/>
      <c r="H912" s="75"/>
      <c r="I912" s="75"/>
    </row>
    <row r="913" ht="14.25" customHeight="1">
      <c r="A913" s="106"/>
      <c r="B913" s="75"/>
      <c r="C913" s="75"/>
      <c r="D913" s="75"/>
      <c r="E913" s="75"/>
      <c r="F913" s="75"/>
      <c r="G913" s="75"/>
      <c r="H913" s="75"/>
      <c r="I913" s="75"/>
    </row>
    <row r="914" ht="14.25" customHeight="1">
      <c r="A914" s="106"/>
      <c r="B914" s="75"/>
      <c r="C914" s="75"/>
      <c r="D914" s="75"/>
      <c r="E914" s="75"/>
      <c r="F914" s="75"/>
      <c r="G914" s="75"/>
      <c r="H914" s="75"/>
      <c r="I914" s="75"/>
    </row>
    <row r="915" ht="14.25" customHeight="1">
      <c r="A915" s="106"/>
      <c r="B915" s="75"/>
      <c r="C915" s="75"/>
      <c r="D915" s="75"/>
      <c r="E915" s="75"/>
      <c r="F915" s="75"/>
      <c r="G915" s="75"/>
      <c r="H915" s="75"/>
      <c r="I915" s="75"/>
    </row>
    <row r="916" ht="14.25" customHeight="1">
      <c r="A916" s="106"/>
      <c r="B916" s="75"/>
      <c r="C916" s="75"/>
      <c r="D916" s="75"/>
      <c r="E916" s="75"/>
      <c r="F916" s="75"/>
      <c r="G916" s="75"/>
      <c r="H916" s="75"/>
      <c r="I916" s="75"/>
    </row>
    <row r="917" ht="14.25" customHeight="1">
      <c r="A917" s="106"/>
      <c r="B917" s="75"/>
      <c r="C917" s="75"/>
      <c r="D917" s="75"/>
      <c r="E917" s="75"/>
      <c r="F917" s="75"/>
      <c r="G917" s="75"/>
      <c r="H917" s="75"/>
      <c r="I917" s="75"/>
    </row>
    <row r="918" ht="14.25" customHeight="1">
      <c r="A918" s="106"/>
      <c r="B918" s="75"/>
      <c r="C918" s="75"/>
      <c r="D918" s="75"/>
      <c r="E918" s="75"/>
      <c r="F918" s="75"/>
      <c r="G918" s="75"/>
      <c r="H918" s="75"/>
      <c r="I918" s="75"/>
    </row>
    <row r="919" ht="14.25" customHeight="1">
      <c r="A919" s="106"/>
      <c r="B919" s="75"/>
      <c r="C919" s="75"/>
      <c r="D919" s="75"/>
      <c r="E919" s="75"/>
      <c r="F919" s="75"/>
      <c r="G919" s="75"/>
      <c r="H919" s="75"/>
      <c r="I919" s="75"/>
    </row>
    <row r="920" ht="14.25" customHeight="1">
      <c r="A920" s="106"/>
      <c r="B920" s="75"/>
      <c r="C920" s="75"/>
      <c r="D920" s="75"/>
      <c r="E920" s="75"/>
      <c r="F920" s="75"/>
      <c r="G920" s="75"/>
      <c r="H920" s="75"/>
      <c r="I920" s="75"/>
    </row>
    <row r="921" ht="14.25" customHeight="1">
      <c r="A921" s="106"/>
      <c r="B921" s="75"/>
      <c r="C921" s="75"/>
      <c r="D921" s="75"/>
      <c r="E921" s="75"/>
      <c r="F921" s="75"/>
      <c r="G921" s="75"/>
      <c r="H921" s="75"/>
      <c r="I921" s="75"/>
    </row>
    <row r="922" ht="14.25" customHeight="1">
      <c r="A922" s="106"/>
      <c r="B922" s="75"/>
      <c r="C922" s="75"/>
      <c r="D922" s="75"/>
      <c r="E922" s="75"/>
      <c r="F922" s="75"/>
      <c r="G922" s="75"/>
      <c r="H922" s="75"/>
      <c r="I922" s="75"/>
    </row>
    <row r="923" ht="14.25" customHeight="1">
      <c r="A923" s="106"/>
      <c r="B923" s="75"/>
      <c r="C923" s="75"/>
      <c r="D923" s="75"/>
      <c r="E923" s="75"/>
      <c r="F923" s="75"/>
      <c r="G923" s="75"/>
      <c r="H923" s="75"/>
      <c r="I923" s="75"/>
    </row>
    <row r="924" ht="14.25" customHeight="1">
      <c r="A924" s="106"/>
      <c r="B924" s="75"/>
      <c r="C924" s="75"/>
      <c r="D924" s="75"/>
      <c r="E924" s="75"/>
      <c r="F924" s="75"/>
      <c r="G924" s="75"/>
      <c r="H924" s="75"/>
      <c r="I924" s="75"/>
    </row>
    <row r="925" ht="14.25" customHeight="1">
      <c r="A925" s="106"/>
      <c r="B925" s="75"/>
      <c r="C925" s="75"/>
      <c r="D925" s="75"/>
      <c r="E925" s="75"/>
      <c r="F925" s="75"/>
      <c r="G925" s="75"/>
      <c r="H925" s="75"/>
      <c r="I925" s="75"/>
    </row>
    <row r="926" ht="14.25" customHeight="1">
      <c r="A926" s="106"/>
      <c r="B926" s="75"/>
      <c r="C926" s="75"/>
      <c r="D926" s="75"/>
      <c r="E926" s="75"/>
      <c r="F926" s="75"/>
      <c r="G926" s="75"/>
      <c r="H926" s="75"/>
      <c r="I926" s="75"/>
    </row>
    <row r="927" ht="14.25" customHeight="1">
      <c r="A927" s="106"/>
      <c r="B927" s="75"/>
      <c r="C927" s="75"/>
      <c r="D927" s="75"/>
      <c r="E927" s="75"/>
      <c r="F927" s="75"/>
      <c r="G927" s="75"/>
      <c r="H927" s="75"/>
      <c r="I927" s="75"/>
    </row>
    <row r="928" ht="14.25" customHeight="1">
      <c r="A928" s="106"/>
      <c r="B928" s="75"/>
      <c r="C928" s="75"/>
      <c r="D928" s="75"/>
      <c r="E928" s="75"/>
      <c r="F928" s="75"/>
      <c r="G928" s="75"/>
      <c r="H928" s="75"/>
      <c r="I928" s="75"/>
    </row>
    <row r="929" ht="14.25" customHeight="1">
      <c r="A929" s="106"/>
      <c r="B929" s="75"/>
      <c r="C929" s="75"/>
      <c r="D929" s="75"/>
      <c r="E929" s="75"/>
      <c r="F929" s="75"/>
      <c r="G929" s="75"/>
      <c r="H929" s="75"/>
      <c r="I929" s="75"/>
    </row>
    <row r="930" ht="14.25" customHeight="1">
      <c r="A930" s="106"/>
      <c r="B930" s="75"/>
      <c r="C930" s="75"/>
      <c r="D930" s="75"/>
      <c r="E930" s="75"/>
      <c r="F930" s="75"/>
      <c r="G930" s="75"/>
      <c r="H930" s="75"/>
      <c r="I930" s="75"/>
    </row>
    <row r="931" ht="14.25" customHeight="1">
      <c r="A931" s="106"/>
      <c r="B931" s="75"/>
      <c r="C931" s="75"/>
      <c r="D931" s="75"/>
      <c r="E931" s="75"/>
      <c r="F931" s="75"/>
      <c r="G931" s="75"/>
      <c r="H931" s="75"/>
      <c r="I931" s="75"/>
    </row>
    <row r="932" ht="14.25" customHeight="1">
      <c r="A932" s="106"/>
      <c r="B932" s="75"/>
      <c r="C932" s="75"/>
      <c r="D932" s="75"/>
      <c r="E932" s="75"/>
      <c r="F932" s="75"/>
      <c r="G932" s="75"/>
      <c r="H932" s="75"/>
      <c r="I932" s="75"/>
    </row>
    <row r="933" ht="14.25" customHeight="1">
      <c r="A933" s="106"/>
      <c r="B933" s="75"/>
      <c r="C933" s="75"/>
      <c r="D933" s="75"/>
      <c r="E933" s="75"/>
      <c r="F933" s="75"/>
      <c r="G933" s="75"/>
      <c r="H933" s="75"/>
      <c r="I933" s="75"/>
    </row>
    <row r="934" ht="14.25" customHeight="1">
      <c r="A934" s="106"/>
      <c r="B934" s="75"/>
      <c r="C934" s="75"/>
      <c r="D934" s="75"/>
      <c r="E934" s="75"/>
      <c r="F934" s="75"/>
      <c r="G934" s="75"/>
      <c r="H934" s="75"/>
      <c r="I934" s="75"/>
    </row>
    <row r="935" ht="14.25" customHeight="1">
      <c r="A935" s="106"/>
      <c r="B935" s="75"/>
      <c r="C935" s="75"/>
      <c r="D935" s="75"/>
      <c r="E935" s="75"/>
      <c r="F935" s="75"/>
      <c r="G935" s="75"/>
      <c r="H935" s="75"/>
      <c r="I935" s="75"/>
    </row>
    <row r="936" ht="14.25" customHeight="1">
      <c r="A936" s="106"/>
      <c r="B936" s="75"/>
      <c r="C936" s="75"/>
      <c r="D936" s="75"/>
      <c r="E936" s="75"/>
      <c r="F936" s="75"/>
      <c r="G936" s="75"/>
      <c r="H936" s="75"/>
      <c r="I936" s="75"/>
    </row>
    <row r="937" ht="14.25" customHeight="1">
      <c r="A937" s="106"/>
      <c r="B937" s="75"/>
      <c r="C937" s="75"/>
      <c r="D937" s="75"/>
      <c r="E937" s="75"/>
      <c r="F937" s="75"/>
      <c r="G937" s="75"/>
      <c r="H937" s="75"/>
      <c r="I937" s="75"/>
    </row>
    <row r="938" ht="14.25" customHeight="1">
      <c r="A938" s="106"/>
      <c r="B938" s="75"/>
      <c r="C938" s="75"/>
      <c r="D938" s="75"/>
      <c r="E938" s="75"/>
      <c r="F938" s="75"/>
      <c r="G938" s="75"/>
      <c r="H938" s="75"/>
      <c r="I938" s="75"/>
    </row>
    <row r="939" ht="14.25" customHeight="1">
      <c r="A939" s="106"/>
      <c r="B939" s="75"/>
      <c r="C939" s="75"/>
      <c r="D939" s="75"/>
      <c r="E939" s="75"/>
      <c r="F939" s="75"/>
      <c r="G939" s="75"/>
      <c r="H939" s="75"/>
      <c r="I939" s="75"/>
    </row>
    <row r="940" ht="14.25" customHeight="1">
      <c r="A940" s="106"/>
      <c r="B940" s="75"/>
      <c r="C940" s="75"/>
      <c r="D940" s="75"/>
      <c r="E940" s="75"/>
      <c r="F940" s="75"/>
      <c r="G940" s="75"/>
      <c r="H940" s="75"/>
      <c r="I940" s="75"/>
    </row>
    <row r="941" ht="14.25" customHeight="1">
      <c r="A941" s="106"/>
      <c r="B941" s="75"/>
      <c r="C941" s="75"/>
      <c r="D941" s="75"/>
      <c r="E941" s="75"/>
      <c r="F941" s="75"/>
      <c r="G941" s="75"/>
      <c r="H941" s="75"/>
      <c r="I941" s="75"/>
    </row>
    <row r="942" ht="14.25" customHeight="1">
      <c r="A942" s="106"/>
      <c r="B942" s="75"/>
      <c r="C942" s="75"/>
      <c r="D942" s="75"/>
      <c r="E942" s="75"/>
      <c r="F942" s="75"/>
      <c r="G942" s="75"/>
      <c r="H942" s="75"/>
      <c r="I942" s="75"/>
    </row>
    <row r="943" ht="14.25" customHeight="1">
      <c r="A943" s="106"/>
      <c r="B943" s="75"/>
      <c r="C943" s="75"/>
      <c r="D943" s="75"/>
      <c r="E943" s="75"/>
      <c r="F943" s="75"/>
      <c r="G943" s="75"/>
      <c r="H943" s="75"/>
      <c r="I943" s="75"/>
    </row>
    <row r="944" ht="14.25" customHeight="1">
      <c r="A944" s="106"/>
      <c r="B944" s="75"/>
      <c r="C944" s="75"/>
      <c r="D944" s="75"/>
      <c r="E944" s="75"/>
      <c r="F944" s="75"/>
      <c r="G944" s="75"/>
      <c r="H944" s="75"/>
      <c r="I944" s="75"/>
    </row>
    <row r="945" ht="14.25" customHeight="1">
      <c r="A945" s="106"/>
      <c r="B945" s="75"/>
      <c r="C945" s="75"/>
      <c r="D945" s="75"/>
      <c r="E945" s="75"/>
      <c r="F945" s="75"/>
      <c r="G945" s="75"/>
      <c r="H945" s="75"/>
      <c r="I945" s="75"/>
    </row>
    <row r="946" ht="14.25" customHeight="1">
      <c r="A946" s="106"/>
      <c r="B946" s="75"/>
      <c r="C946" s="75"/>
      <c r="D946" s="75"/>
      <c r="E946" s="75"/>
      <c r="F946" s="75"/>
      <c r="G946" s="75"/>
      <c r="H946" s="75"/>
      <c r="I946" s="75"/>
    </row>
    <row r="947" ht="14.25" customHeight="1">
      <c r="A947" s="106"/>
      <c r="B947" s="75"/>
      <c r="C947" s="75"/>
      <c r="D947" s="75"/>
      <c r="E947" s="75"/>
      <c r="F947" s="75"/>
      <c r="G947" s="75"/>
      <c r="H947" s="75"/>
      <c r="I947" s="75"/>
    </row>
    <row r="948" ht="14.25" customHeight="1">
      <c r="A948" s="106"/>
      <c r="B948" s="75"/>
      <c r="C948" s="75"/>
      <c r="D948" s="75"/>
      <c r="E948" s="75"/>
      <c r="F948" s="75"/>
      <c r="G948" s="75"/>
      <c r="H948" s="75"/>
      <c r="I948" s="75"/>
    </row>
    <row r="949" ht="14.25" customHeight="1">
      <c r="A949" s="106"/>
      <c r="B949" s="75"/>
      <c r="C949" s="75"/>
      <c r="D949" s="75"/>
      <c r="E949" s="75"/>
      <c r="F949" s="75"/>
      <c r="G949" s="75"/>
      <c r="H949" s="75"/>
      <c r="I949" s="75"/>
    </row>
    <row r="950" ht="14.25" customHeight="1">
      <c r="A950" s="106"/>
      <c r="B950" s="75"/>
      <c r="C950" s="75"/>
      <c r="D950" s="75"/>
      <c r="E950" s="75"/>
      <c r="F950" s="75"/>
      <c r="G950" s="75"/>
      <c r="H950" s="75"/>
      <c r="I950" s="75"/>
    </row>
    <row r="951" ht="14.25" customHeight="1">
      <c r="A951" s="106"/>
      <c r="B951" s="75"/>
      <c r="C951" s="75"/>
      <c r="D951" s="75"/>
      <c r="E951" s="75"/>
      <c r="F951" s="75"/>
      <c r="G951" s="75"/>
      <c r="H951" s="75"/>
      <c r="I951" s="75"/>
    </row>
    <row r="952" ht="14.25" customHeight="1">
      <c r="A952" s="106"/>
      <c r="B952" s="75"/>
      <c r="C952" s="75"/>
      <c r="D952" s="75"/>
      <c r="E952" s="75"/>
      <c r="F952" s="75"/>
      <c r="G952" s="75"/>
      <c r="H952" s="75"/>
      <c r="I952" s="75"/>
    </row>
    <row r="953" ht="14.25" customHeight="1">
      <c r="A953" s="106"/>
      <c r="B953" s="75"/>
      <c r="C953" s="75"/>
      <c r="D953" s="75"/>
      <c r="E953" s="75"/>
      <c r="F953" s="75"/>
      <c r="G953" s="75"/>
      <c r="H953" s="75"/>
      <c r="I953" s="75"/>
    </row>
    <row r="954" ht="14.25" customHeight="1">
      <c r="A954" s="106"/>
      <c r="B954" s="75"/>
      <c r="C954" s="75"/>
      <c r="D954" s="75"/>
      <c r="E954" s="75"/>
      <c r="F954" s="75"/>
      <c r="G954" s="75"/>
      <c r="H954" s="75"/>
      <c r="I954" s="75"/>
    </row>
    <row r="955" ht="14.25" customHeight="1">
      <c r="A955" s="106"/>
      <c r="B955" s="75"/>
      <c r="C955" s="75"/>
      <c r="D955" s="75"/>
      <c r="E955" s="75"/>
      <c r="F955" s="75"/>
      <c r="G955" s="75"/>
      <c r="H955" s="75"/>
      <c r="I955" s="75"/>
    </row>
    <row r="956" ht="14.25" customHeight="1">
      <c r="A956" s="106"/>
      <c r="B956" s="75"/>
      <c r="C956" s="75"/>
      <c r="D956" s="75"/>
      <c r="E956" s="75"/>
      <c r="F956" s="75"/>
      <c r="G956" s="75"/>
      <c r="H956" s="75"/>
      <c r="I956" s="75"/>
    </row>
    <row r="957" ht="14.25" customHeight="1">
      <c r="A957" s="106"/>
      <c r="B957" s="75"/>
      <c r="C957" s="75"/>
      <c r="D957" s="75"/>
      <c r="E957" s="75"/>
      <c r="F957" s="75"/>
      <c r="G957" s="75"/>
      <c r="H957" s="75"/>
      <c r="I957" s="75"/>
    </row>
    <row r="958" ht="14.25" customHeight="1">
      <c r="A958" s="106"/>
      <c r="B958" s="75"/>
      <c r="C958" s="75"/>
      <c r="D958" s="75"/>
      <c r="E958" s="75"/>
      <c r="F958" s="75"/>
      <c r="G958" s="75"/>
      <c r="H958" s="75"/>
      <c r="I958" s="75"/>
    </row>
    <row r="959" ht="14.25" customHeight="1">
      <c r="A959" s="106"/>
      <c r="B959" s="75"/>
      <c r="C959" s="75"/>
      <c r="D959" s="75"/>
      <c r="E959" s="75"/>
      <c r="F959" s="75"/>
      <c r="G959" s="75"/>
      <c r="H959" s="75"/>
      <c r="I959" s="75"/>
    </row>
    <row r="960" ht="14.25" customHeight="1">
      <c r="A960" s="106"/>
      <c r="B960" s="75"/>
      <c r="C960" s="75"/>
      <c r="D960" s="75"/>
      <c r="E960" s="75"/>
      <c r="F960" s="75"/>
      <c r="G960" s="75"/>
      <c r="H960" s="75"/>
      <c r="I960" s="75"/>
    </row>
    <row r="961" ht="14.25" customHeight="1">
      <c r="A961" s="106"/>
      <c r="B961" s="75"/>
      <c r="C961" s="75"/>
      <c r="D961" s="75"/>
      <c r="E961" s="75"/>
      <c r="F961" s="75"/>
      <c r="G961" s="75"/>
      <c r="H961" s="75"/>
      <c r="I961" s="75"/>
    </row>
    <row r="962" ht="14.25" customHeight="1">
      <c r="A962" s="106"/>
      <c r="B962" s="75"/>
      <c r="C962" s="75"/>
      <c r="D962" s="75"/>
      <c r="E962" s="75"/>
      <c r="F962" s="75"/>
      <c r="G962" s="75"/>
      <c r="H962" s="75"/>
      <c r="I962" s="75"/>
    </row>
    <row r="963" ht="14.25" customHeight="1">
      <c r="A963" s="106"/>
      <c r="B963" s="75"/>
      <c r="C963" s="75"/>
      <c r="D963" s="75"/>
      <c r="E963" s="75"/>
      <c r="F963" s="75"/>
      <c r="G963" s="75"/>
      <c r="H963" s="75"/>
      <c r="I963" s="75"/>
    </row>
    <row r="964" ht="14.25" customHeight="1">
      <c r="A964" s="106"/>
      <c r="B964" s="75"/>
      <c r="C964" s="75"/>
      <c r="D964" s="75"/>
      <c r="E964" s="75"/>
      <c r="F964" s="75"/>
      <c r="G964" s="75"/>
      <c r="H964" s="75"/>
      <c r="I964" s="75"/>
    </row>
    <row r="965" ht="14.25" customHeight="1">
      <c r="A965" s="106"/>
      <c r="B965" s="75"/>
      <c r="C965" s="75"/>
      <c r="D965" s="75"/>
      <c r="E965" s="75"/>
      <c r="F965" s="75"/>
      <c r="G965" s="75"/>
      <c r="H965" s="75"/>
      <c r="I965" s="75"/>
    </row>
    <row r="966" ht="14.25" customHeight="1">
      <c r="A966" s="106"/>
      <c r="B966" s="75"/>
      <c r="C966" s="75"/>
      <c r="D966" s="75"/>
      <c r="E966" s="75"/>
      <c r="F966" s="75"/>
      <c r="G966" s="75"/>
      <c r="H966" s="75"/>
      <c r="I966" s="75"/>
    </row>
    <row r="967" ht="14.25" customHeight="1">
      <c r="A967" s="106"/>
      <c r="B967" s="75"/>
      <c r="C967" s="75"/>
      <c r="D967" s="75"/>
      <c r="E967" s="75"/>
      <c r="F967" s="75"/>
      <c r="G967" s="75"/>
      <c r="H967" s="75"/>
      <c r="I967" s="75"/>
    </row>
    <row r="968" ht="14.25" customHeight="1">
      <c r="A968" s="106"/>
      <c r="B968" s="75"/>
      <c r="C968" s="75"/>
      <c r="D968" s="75"/>
      <c r="E968" s="75"/>
      <c r="F968" s="75"/>
      <c r="G968" s="75"/>
      <c r="H968" s="75"/>
      <c r="I968" s="75"/>
    </row>
    <row r="969" ht="14.25" customHeight="1">
      <c r="A969" s="106"/>
      <c r="B969" s="75"/>
      <c r="C969" s="75"/>
      <c r="D969" s="75"/>
      <c r="E969" s="75"/>
      <c r="F969" s="75"/>
      <c r="G969" s="75"/>
      <c r="H969" s="75"/>
      <c r="I969" s="75"/>
    </row>
    <row r="970" ht="14.25" customHeight="1">
      <c r="A970" s="106"/>
      <c r="B970" s="75"/>
      <c r="C970" s="75"/>
      <c r="D970" s="75"/>
      <c r="E970" s="75"/>
      <c r="F970" s="75"/>
      <c r="G970" s="75"/>
      <c r="H970" s="75"/>
      <c r="I970" s="75"/>
    </row>
    <row r="971" ht="14.25" customHeight="1">
      <c r="A971" s="106"/>
      <c r="B971" s="75"/>
      <c r="C971" s="75"/>
      <c r="D971" s="75"/>
      <c r="E971" s="75"/>
      <c r="F971" s="75"/>
      <c r="G971" s="75"/>
      <c r="H971" s="75"/>
      <c r="I971" s="75"/>
    </row>
    <row r="972" ht="14.25" customHeight="1">
      <c r="A972" s="106"/>
      <c r="B972" s="75"/>
      <c r="C972" s="75"/>
      <c r="D972" s="75"/>
      <c r="E972" s="75"/>
      <c r="F972" s="75"/>
      <c r="G972" s="75"/>
      <c r="H972" s="75"/>
      <c r="I972" s="75"/>
    </row>
    <row r="973" ht="14.25" customHeight="1">
      <c r="A973" s="106"/>
      <c r="B973" s="75"/>
      <c r="C973" s="75"/>
      <c r="D973" s="75"/>
      <c r="E973" s="75"/>
      <c r="F973" s="75"/>
      <c r="G973" s="75"/>
      <c r="H973" s="75"/>
      <c r="I973" s="75"/>
    </row>
    <row r="974" ht="14.25" customHeight="1">
      <c r="A974" s="106"/>
      <c r="B974" s="75"/>
      <c r="C974" s="75"/>
      <c r="D974" s="75"/>
      <c r="E974" s="75"/>
      <c r="F974" s="75"/>
      <c r="G974" s="75"/>
      <c r="H974" s="75"/>
      <c r="I974" s="75"/>
    </row>
    <row r="975" ht="14.25" customHeight="1">
      <c r="A975" s="106"/>
      <c r="B975" s="75"/>
      <c r="C975" s="75"/>
      <c r="D975" s="75"/>
      <c r="E975" s="75"/>
      <c r="F975" s="75"/>
      <c r="G975" s="75"/>
      <c r="H975" s="75"/>
      <c r="I975" s="75"/>
    </row>
    <row r="976" ht="14.25" customHeight="1">
      <c r="A976" s="106"/>
      <c r="B976" s="75"/>
      <c r="C976" s="75"/>
      <c r="D976" s="75"/>
      <c r="E976" s="75"/>
      <c r="F976" s="75"/>
      <c r="G976" s="75"/>
      <c r="H976" s="75"/>
      <c r="I976" s="75"/>
    </row>
    <row r="977" ht="14.25" customHeight="1">
      <c r="A977" s="106"/>
      <c r="B977" s="75"/>
      <c r="C977" s="75"/>
      <c r="D977" s="75"/>
      <c r="E977" s="75"/>
      <c r="F977" s="75"/>
      <c r="G977" s="75"/>
      <c r="H977" s="75"/>
      <c r="I977" s="75"/>
    </row>
    <row r="978" ht="14.25" customHeight="1">
      <c r="A978" s="106"/>
      <c r="B978" s="75"/>
      <c r="C978" s="75"/>
      <c r="D978" s="75"/>
      <c r="E978" s="75"/>
      <c r="F978" s="75"/>
      <c r="G978" s="75"/>
      <c r="H978" s="75"/>
      <c r="I978" s="75"/>
    </row>
    <row r="979" ht="14.25" customHeight="1">
      <c r="A979" s="106"/>
      <c r="B979" s="75"/>
      <c r="C979" s="75"/>
      <c r="D979" s="75"/>
      <c r="E979" s="75"/>
      <c r="F979" s="75"/>
      <c r="G979" s="75"/>
      <c r="H979" s="75"/>
      <c r="I979" s="75"/>
    </row>
    <row r="980" ht="14.25" customHeight="1">
      <c r="A980" s="106"/>
      <c r="B980" s="75"/>
      <c r="C980" s="75"/>
      <c r="D980" s="75"/>
      <c r="E980" s="75"/>
      <c r="F980" s="75"/>
      <c r="G980" s="75"/>
      <c r="H980" s="75"/>
      <c r="I980" s="75"/>
    </row>
    <row r="981" ht="14.25" customHeight="1">
      <c r="A981" s="106"/>
      <c r="B981" s="75"/>
      <c r="C981" s="75"/>
      <c r="D981" s="75"/>
      <c r="E981" s="75"/>
      <c r="F981" s="75"/>
      <c r="G981" s="75"/>
      <c r="H981" s="75"/>
      <c r="I981" s="75"/>
    </row>
    <row r="982" ht="14.25" customHeight="1">
      <c r="A982" s="106"/>
      <c r="B982" s="75"/>
      <c r="C982" s="75"/>
      <c r="D982" s="75"/>
      <c r="E982" s="75"/>
      <c r="F982" s="75"/>
      <c r="G982" s="75"/>
      <c r="H982" s="75"/>
      <c r="I982" s="75"/>
    </row>
    <row r="983" ht="14.25" customHeight="1">
      <c r="A983" s="106"/>
      <c r="B983" s="75"/>
      <c r="C983" s="75"/>
      <c r="D983" s="75"/>
      <c r="E983" s="75"/>
      <c r="F983" s="75"/>
      <c r="G983" s="75"/>
      <c r="H983" s="75"/>
      <c r="I983" s="75"/>
    </row>
    <row r="984" ht="14.25" customHeight="1">
      <c r="A984" s="106"/>
      <c r="B984" s="75"/>
      <c r="C984" s="75"/>
      <c r="D984" s="75"/>
      <c r="E984" s="75"/>
      <c r="F984" s="75"/>
      <c r="G984" s="75"/>
      <c r="H984" s="75"/>
      <c r="I984" s="75"/>
    </row>
    <row r="985" ht="14.25" customHeight="1">
      <c r="A985" s="106"/>
      <c r="B985" s="75"/>
      <c r="C985" s="75"/>
      <c r="D985" s="75"/>
      <c r="E985" s="75"/>
      <c r="F985" s="75"/>
      <c r="G985" s="75"/>
      <c r="H985" s="75"/>
      <c r="I985" s="75"/>
    </row>
    <row r="986" ht="14.25" customHeight="1">
      <c r="A986" s="106"/>
      <c r="B986" s="75"/>
      <c r="C986" s="75"/>
      <c r="D986" s="75"/>
      <c r="E986" s="75"/>
      <c r="F986" s="75"/>
      <c r="G986" s="75"/>
      <c r="H986" s="75"/>
      <c r="I986" s="75"/>
    </row>
    <row r="987" ht="14.25" customHeight="1">
      <c r="A987" s="106"/>
      <c r="B987" s="75"/>
      <c r="C987" s="75"/>
      <c r="D987" s="75"/>
      <c r="E987" s="75"/>
      <c r="F987" s="75"/>
      <c r="G987" s="75"/>
      <c r="H987" s="75"/>
      <c r="I987" s="75"/>
    </row>
    <row r="988" ht="14.25" customHeight="1">
      <c r="A988" s="106"/>
      <c r="B988" s="75"/>
      <c r="C988" s="75"/>
      <c r="D988" s="75"/>
      <c r="E988" s="75"/>
      <c r="F988" s="75"/>
      <c r="G988" s="75"/>
      <c r="H988" s="75"/>
      <c r="I988" s="75"/>
    </row>
    <row r="989" ht="14.25" customHeight="1">
      <c r="A989" s="106"/>
      <c r="B989" s="75"/>
      <c r="C989" s="75"/>
      <c r="D989" s="75"/>
      <c r="E989" s="75"/>
      <c r="F989" s="75"/>
      <c r="G989" s="75"/>
      <c r="H989" s="75"/>
      <c r="I989" s="75"/>
    </row>
    <row r="990" ht="14.25" customHeight="1">
      <c r="A990" s="106"/>
      <c r="B990" s="75"/>
      <c r="C990" s="75"/>
      <c r="D990" s="75"/>
      <c r="E990" s="75"/>
      <c r="F990" s="75"/>
      <c r="G990" s="75"/>
      <c r="H990" s="75"/>
      <c r="I990" s="75"/>
    </row>
    <row r="991" ht="14.25" customHeight="1">
      <c r="A991" s="106"/>
      <c r="B991" s="75"/>
      <c r="C991" s="75"/>
      <c r="D991" s="75"/>
      <c r="E991" s="75"/>
      <c r="F991" s="75"/>
      <c r="G991" s="75"/>
      <c r="H991" s="75"/>
      <c r="I991" s="75"/>
    </row>
    <row r="992" ht="14.25" customHeight="1">
      <c r="A992" s="106"/>
      <c r="B992" s="75"/>
      <c r="C992" s="75"/>
      <c r="D992" s="75"/>
      <c r="E992" s="75"/>
      <c r="F992" s="75"/>
      <c r="G992" s="75"/>
      <c r="H992" s="75"/>
      <c r="I992" s="75"/>
    </row>
    <row r="993" ht="14.25" customHeight="1">
      <c r="A993" s="106"/>
      <c r="B993" s="75"/>
      <c r="C993" s="75"/>
      <c r="D993" s="75"/>
      <c r="E993" s="75"/>
      <c r="F993" s="75"/>
      <c r="G993" s="75"/>
      <c r="H993" s="75"/>
      <c r="I993" s="75"/>
    </row>
    <row r="994" ht="14.25" customHeight="1">
      <c r="A994" s="106"/>
      <c r="B994" s="75"/>
      <c r="C994" s="75"/>
      <c r="D994" s="75"/>
      <c r="E994" s="75"/>
      <c r="F994" s="75"/>
      <c r="G994" s="75"/>
      <c r="H994" s="75"/>
      <c r="I994" s="75"/>
    </row>
    <row r="995" ht="14.25" customHeight="1">
      <c r="A995" s="106"/>
      <c r="B995" s="75"/>
      <c r="C995" s="75"/>
      <c r="D995" s="75"/>
      <c r="E995" s="75"/>
      <c r="F995" s="75"/>
      <c r="G995" s="75"/>
      <c r="H995" s="75"/>
      <c r="I995" s="75"/>
    </row>
    <row r="996" ht="14.25" customHeight="1">
      <c r="A996" s="106"/>
      <c r="B996" s="75"/>
      <c r="C996" s="75"/>
      <c r="D996" s="75"/>
      <c r="E996" s="75"/>
      <c r="F996" s="75"/>
      <c r="G996" s="75"/>
      <c r="H996" s="75"/>
      <c r="I996" s="75"/>
    </row>
    <row r="997" ht="14.25" customHeight="1">
      <c r="A997" s="106"/>
      <c r="B997" s="75"/>
      <c r="C997" s="75"/>
      <c r="D997" s="75"/>
      <c r="E997" s="75"/>
      <c r="F997" s="75"/>
      <c r="G997" s="75"/>
      <c r="H997" s="75"/>
      <c r="I997" s="75"/>
    </row>
    <row r="998" ht="14.25" customHeight="1">
      <c r="A998" s="106"/>
      <c r="B998" s="75"/>
      <c r="C998" s="75"/>
      <c r="D998" s="75"/>
      <c r="E998" s="75"/>
      <c r="F998" s="75"/>
      <c r="G998" s="75"/>
      <c r="H998" s="75"/>
      <c r="I998" s="75"/>
    </row>
    <row r="999" ht="14.25" customHeight="1">
      <c r="A999" s="106"/>
      <c r="B999" s="75"/>
      <c r="C999" s="75"/>
      <c r="D999" s="75"/>
      <c r="E999" s="75"/>
      <c r="F999" s="75"/>
      <c r="G999" s="75"/>
      <c r="H999" s="75"/>
      <c r="I999" s="75"/>
    </row>
    <row r="1000" ht="14.25" customHeight="1">
      <c r="A1000" s="106"/>
      <c r="B1000" s="75"/>
      <c r="C1000" s="75"/>
      <c r="D1000" s="75"/>
      <c r="E1000" s="75"/>
      <c r="F1000" s="75"/>
      <c r="G1000" s="75"/>
      <c r="H1000" s="75"/>
      <c r="I1000" s="75"/>
    </row>
  </sheetData>
  <hyperlinks>
    <hyperlink r:id="rId4" ref="C30"/>
    <hyperlink r:id="rId5" ref="C33"/>
    <hyperlink r:id="rId6" ref="C38"/>
    <hyperlink r:id="rId7" ref="C97"/>
    <hyperlink r:id="rId8" ref="D113"/>
  </hyperlinks>
  <printOptions/>
  <pageMargins bottom="0.75" footer="0.0" header="0.0" left="0.7" right="0.7" top="0.75"/>
  <pageSetup paperSize="9" orientation="portrait"/>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44.43"/>
    <col customWidth="1" hidden="1" min="3" max="4" width="3.71"/>
    <col customWidth="1" min="5" max="10" width="12.29"/>
    <col customWidth="1" min="11" max="70" width="12.29" outlineLevel="1"/>
  </cols>
  <sheetData>
    <row r="1" ht="14.25" customHeight="1">
      <c r="A1" s="158"/>
      <c r="B1" s="159" t="str">
        <f>Company_Name</f>
        <v>ABC Company</v>
      </c>
      <c r="C1" s="160"/>
      <c r="D1" s="160"/>
      <c r="E1" s="161">
        <f>'Input Assumptions'!E$18</f>
        <v>1</v>
      </c>
      <c r="F1" s="161">
        <f>'Input Assumptions'!F$18</f>
        <v>2</v>
      </c>
      <c r="G1" s="161">
        <f>'Input Assumptions'!G$18</f>
        <v>3</v>
      </c>
      <c r="H1" s="161">
        <f>'Input Assumptions'!H$18</f>
        <v>4</v>
      </c>
      <c r="I1" s="161">
        <f>'Input Assumptions'!I$18</f>
        <v>5</v>
      </c>
      <c r="J1" s="162"/>
      <c r="K1" s="163">
        <f>IF(K$4&lt;Fin_Year_End,1,IF(MONTH(K$4)=MONTH(Fin_Year_End)+1,MIN(J1+1,5),J1))</f>
        <v>1</v>
      </c>
      <c r="L1" s="163">
        <f>IF(L$4&lt;Fin_Year_End,1,IF(MONTH(L$4)=MONTH(Fin_Year_End)+1,MIN(K1+1,5),K1))</f>
        <v>1</v>
      </c>
      <c r="M1" s="163">
        <f>IF(M$4&lt;Fin_Year_End,1,IF(MONTH(M$4)=MONTH(Fin_Year_End)+1,MIN(L1+1,5),L1))</f>
        <v>1</v>
      </c>
      <c r="N1" s="163">
        <f>IF(N$4&lt;Fin_Year_End,1,IF(MONTH(N$4)=MONTH(Fin_Year_End)+1,MIN(M1+1,5),M1))</f>
        <v>1</v>
      </c>
      <c r="O1" s="163">
        <f>IF(O$4&lt;Fin_Year_End,1,IF(MONTH(O$4)=MONTH(Fin_Year_End)+1,MIN(N1+1,5),N1))</f>
        <v>1</v>
      </c>
      <c r="P1" s="163">
        <f>IF(P$4&lt;Fin_Year_End,1,IF(MONTH(P$4)=MONTH(Fin_Year_End)+1,MIN(O1+1,5),O1))</f>
        <v>1</v>
      </c>
      <c r="Q1" s="163">
        <f>IF(Q$4&lt;Fin_Year_End,1,IF(MONTH(Q$4)=MONTH(Fin_Year_End)+1,MIN(P1+1,5),P1))</f>
        <v>1</v>
      </c>
      <c r="R1" s="163">
        <f>IF(R$4&lt;Fin_Year_End,1,IF(MONTH(R$4)=MONTH(Fin_Year_End)+1,MIN(Q1+1,5),Q1))</f>
        <v>1</v>
      </c>
      <c r="S1" s="163">
        <f>IF(S$4&lt;Fin_Year_End,1,IF(MONTH(S$4)=MONTH(Fin_Year_End)+1,MIN(R1+1,5),R1))</f>
        <v>1</v>
      </c>
      <c r="T1" s="163">
        <f>IF(T$4&lt;Fin_Year_End,1,IF(MONTH(T$4)=MONTH(Fin_Year_End)+1,MIN(S1+1,5),S1))</f>
        <v>1</v>
      </c>
      <c r="U1" s="163">
        <f>IF(U$4&lt;Fin_Year_End,1,IF(MONTH(U$4)=MONTH(Fin_Year_End)+1,MIN(T1+1,5),T1))</f>
        <v>1</v>
      </c>
      <c r="V1" s="163">
        <f>IF(V$4&lt;Fin_Year_End,1,IF(MONTH(V$4)=MONTH(Fin_Year_End)+1,MIN(U1+1,5),U1))</f>
        <v>1</v>
      </c>
      <c r="W1" s="163">
        <f>IF(W$4&lt;Fin_Year_End,1,IF(MONTH(W$4)=MONTH(Fin_Year_End)+1,MIN(V1+1,5),V1))</f>
        <v>2</v>
      </c>
      <c r="X1" s="163">
        <f>IF(X$4&lt;Fin_Year_End,1,IF(MONTH(X$4)=MONTH(Fin_Year_End)+1,MIN(W1+1,5),W1))</f>
        <v>2</v>
      </c>
      <c r="Y1" s="163">
        <f>IF(Y$4&lt;Fin_Year_End,1,IF(MONTH(Y$4)=MONTH(Fin_Year_End)+1,MIN(X1+1,5),X1))</f>
        <v>2</v>
      </c>
      <c r="Z1" s="163">
        <f>IF(Z$4&lt;Fin_Year_End,1,IF(MONTH(Z$4)=MONTH(Fin_Year_End)+1,MIN(Y1+1,5),Y1))</f>
        <v>2</v>
      </c>
      <c r="AA1" s="163">
        <f>IF(AA$4&lt;Fin_Year_End,1,IF(MONTH(AA$4)=MONTH(Fin_Year_End)+1,MIN(Z1+1,5),Z1))</f>
        <v>2</v>
      </c>
      <c r="AB1" s="163">
        <f>IF(AB$4&lt;Fin_Year_End,1,IF(MONTH(AB$4)=MONTH(Fin_Year_End)+1,MIN(AA1+1,5),AA1))</f>
        <v>2</v>
      </c>
      <c r="AC1" s="163">
        <f>IF(AC$4&lt;Fin_Year_End,1,IF(MONTH(AC$4)=MONTH(Fin_Year_End)+1,MIN(AB1+1,5),AB1))</f>
        <v>2</v>
      </c>
      <c r="AD1" s="163">
        <f>IF(AD$4&lt;Fin_Year_End,1,IF(MONTH(AD$4)=MONTH(Fin_Year_End)+1,MIN(AC1+1,5),AC1))</f>
        <v>2</v>
      </c>
      <c r="AE1" s="163">
        <f>IF(AE$4&lt;Fin_Year_End,1,IF(MONTH(AE$4)=MONTH(Fin_Year_End)+1,MIN(AD1+1,5),AD1))</f>
        <v>2</v>
      </c>
      <c r="AF1" s="163">
        <f>IF(AF$4&lt;Fin_Year_End,1,IF(MONTH(AF$4)=MONTH(Fin_Year_End)+1,MIN(AE1+1,5),AE1))</f>
        <v>2</v>
      </c>
      <c r="AG1" s="163">
        <f>IF(AG$4&lt;Fin_Year_End,1,IF(MONTH(AG$4)=MONTH(Fin_Year_End)+1,MIN(AF1+1,5),AF1))</f>
        <v>2</v>
      </c>
      <c r="AH1" s="163">
        <f>IF(AH$4&lt;Fin_Year_End,1,IF(MONTH(AH$4)=MONTH(Fin_Year_End)+1,MIN(AG1+1,5),AG1))</f>
        <v>2</v>
      </c>
      <c r="AI1" s="163">
        <f>IF(AI$4&lt;Fin_Year_End,1,IF(MONTH(AI$4)=MONTH(Fin_Year_End)+1,MIN(AH1+1,5),AH1))</f>
        <v>3</v>
      </c>
      <c r="AJ1" s="163">
        <f>IF(AJ$4&lt;Fin_Year_End,1,IF(MONTH(AJ$4)=MONTH(Fin_Year_End)+1,MIN(AI1+1,5),AI1))</f>
        <v>3</v>
      </c>
      <c r="AK1" s="163">
        <f>IF(AK$4&lt;Fin_Year_End,1,IF(MONTH(AK$4)=MONTH(Fin_Year_End)+1,MIN(AJ1+1,5),AJ1))</f>
        <v>3</v>
      </c>
      <c r="AL1" s="163">
        <f>IF(AL$4&lt;Fin_Year_End,1,IF(MONTH(AL$4)=MONTH(Fin_Year_End)+1,MIN(AK1+1,5),AK1))</f>
        <v>3</v>
      </c>
      <c r="AM1" s="163">
        <f>IF(AM$4&lt;Fin_Year_End,1,IF(MONTH(AM$4)=MONTH(Fin_Year_End)+1,MIN(AL1+1,5),AL1))</f>
        <v>3</v>
      </c>
      <c r="AN1" s="163">
        <f>IF(AN$4&lt;Fin_Year_End,1,IF(MONTH(AN$4)=MONTH(Fin_Year_End)+1,MIN(AM1+1,5),AM1))</f>
        <v>3</v>
      </c>
      <c r="AO1" s="163">
        <f>IF(AO$4&lt;Fin_Year_End,1,IF(MONTH(AO$4)=MONTH(Fin_Year_End)+1,MIN(AN1+1,5),AN1))</f>
        <v>3</v>
      </c>
      <c r="AP1" s="163">
        <f>IF(AP$4&lt;Fin_Year_End,1,IF(MONTH(AP$4)=MONTH(Fin_Year_End)+1,MIN(AO1+1,5),AO1))</f>
        <v>3</v>
      </c>
      <c r="AQ1" s="163">
        <f>IF(AQ$4&lt;Fin_Year_End,1,IF(MONTH(AQ$4)=MONTH(Fin_Year_End)+1,MIN(AP1+1,5),AP1))</f>
        <v>3</v>
      </c>
      <c r="AR1" s="163">
        <f>IF(AR$4&lt;Fin_Year_End,1,IF(MONTH(AR$4)=MONTH(Fin_Year_End)+1,MIN(AQ1+1,5),AQ1))</f>
        <v>3</v>
      </c>
      <c r="AS1" s="163">
        <f>IF(AS$4&lt;Fin_Year_End,1,IF(MONTH(AS$4)=MONTH(Fin_Year_End)+1,MIN(AR1+1,5),AR1))</f>
        <v>3</v>
      </c>
      <c r="AT1" s="163">
        <f>IF(AT$4&lt;Fin_Year_End,1,IF(MONTH(AT$4)=MONTH(Fin_Year_End)+1,MIN(AS1+1,5),AS1))</f>
        <v>3</v>
      </c>
      <c r="AU1" s="163">
        <f>IF(AU$4&lt;Fin_Year_End,1,IF(MONTH(AU$4)=MONTH(Fin_Year_End)+1,MIN(AT1+1,5),AT1))</f>
        <v>4</v>
      </c>
      <c r="AV1" s="163">
        <f>IF(AV$4&lt;Fin_Year_End,1,IF(MONTH(AV$4)=MONTH(Fin_Year_End)+1,MIN(AU1+1,5),AU1))</f>
        <v>4</v>
      </c>
      <c r="AW1" s="163">
        <f>IF(AW$4&lt;Fin_Year_End,1,IF(MONTH(AW$4)=MONTH(Fin_Year_End)+1,MIN(AV1+1,5),AV1))</f>
        <v>4</v>
      </c>
      <c r="AX1" s="163">
        <f>IF(AX$4&lt;Fin_Year_End,1,IF(MONTH(AX$4)=MONTH(Fin_Year_End)+1,MIN(AW1+1,5),AW1))</f>
        <v>4</v>
      </c>
      <c r="AY1" s="163">
        <f>IF(AY$4&lt;Fin_Year_End,1,IF(MONTH(AY$4)=MONTH(Fin_Year_End)+1,MIN(AX1+1,5),AX1))</f>
        <v>4</v>
      </c>
      <c r="AZ1" s="163">
        <f>IF(AZ$4&lt;Fin_Year_End,1,IF(MONTH(AZ$4)=MONTH(Fin_Year_End)+1,MIN(AY1+1,5),AY1))</f>
        <v>4</v>
      </c>
      <c r="BA1" s="163">
        <f>IF(BA$4&lt;Fin_Year_End,1,IF(MONTH(BA$4)=MONTH(Fin_Year_End)+1,MIN(AZ1+1,5),AZ1))</f>
        <v>4</v>
      </c>
      <c r="BB1" s="163">
        <f>IF(BB$4&lt;Fin_Year_End,1,IF(MONTH(BB$4)=MONTH(Fin_Year_End)+1,MIN(BA1+1,5),BA1))</f>
        <v>4</v>
      </c>
      <c r="BC1" s="163">
        <f>IF(BC$4&lt;Fin_Year_End,1,IF(MONTH(BC$4)=MONTH(Fin_Year_End)+1,MIN(BB1+1,5),BB1))</f>
        <v>4</v>
      </c>
      <c r="BD1" s="163">
        <f>IF(BD$4&lt;Fin_Year_End,1,IF(MONTH(BD$4)=MONTH(Fin_Year_End)+1,MIN(BC1+1,5),BC1))</f>
        <v>4</v>
      </c>
      <c r="BE1" s="163">
        <f>IF(BE$4&lt;Fin_Year_End,1,IF(MONTH(BE$4)=MONTH(Fin_Year_End)+1,MIN(BD1+1,5),BD1))</f>
        <v>4</v>
      </c>
      <c r="BF1" s="163">
        <f>IF(BF$4&lt;Fin_Year_End,1,IF(MONTH(BF$4)=MONTH(Fin_Year_End)+1,MIN(BE1+1,5),BE1))</f>
        <v>4</v>
      </c>
      <c r="BG1" s="163">
        <f>IF(BG$4&lt;Fin_Year_End,1,IF(MONTH(BG$4)=MONTH(Fin_Year_End)+1,MIN(BF1+1,5),BF1))</f>
        <v>5</v>
      </c>
      <c r="BH1" s="163">
        <f>IF(BH$4&lt;Fin_Year_End,1,IF(MONTH(BH$4)=MONTH(Fin_Year_End)+1,MIN(BG1+1,5),BG1))</f>
        <v>5</v>
      </c>
      <c r="BI1" s="163">
        <f>IF(BI$4&lt;Fin_Year_End,1,IF(MONTH(BI$4)=MONTH(Fin_Year_End)+1,MIN(BH1+1,5),BH1))</f>
        <v>5</v>
      </c>
      <c r="BJ1" s="163">
        <f>IF(BJ$4&lt;Fin_Year_End,1,IF(MONTH(BJ$4)=MONTH(Fin_Year_End)+1,MIN(BI1+1,5),BI1))</f>
        <v>5</v>
      </c>
      <c r="BK1" s="163">
        <f>IF(BK$4&lt;Fin_Year_End,1,IF(MONTH(BK$4)=MONTH(Fin_Year_End)+1,MIN(BJ1+1,5),BJ1))</f>
        <v>5</v>
      </c>
      <c r="BL1" s="163">
        <f>IF(BL$4&lt;Fin_Year_End,1,IF(MONTH(BL$4)=MONTH(Fin_Year_End)+1,MIN(BK1+1,5),BK1))</f>
        <v>5</v>
      </c>
      <c r="BM1" s="163">
        <f>IF(BM$4&lt;Fin_Year_End,1,IF(MONTH(BM$4)=MONTH(Fin_Year_End)+1,MIN(BL1+1,5),BL1))</f>
        <v>5</v>
      </c>
      <c r="BN1" s="163">
        <f>IF(BN$4&lt;Fin_Year_End,1,IF(MONTH(BN$4)=MONTH(Fin_Year_End)+1,MIN(BM1+1,5),BM1))</f>
        <v>5</v>
      </c>
      <c r="BO1" s="163">
        <f>IF(BO$4&lt;Fin_Year_End,1,IF(MONTH(BO$4)=MONTH(Fin_Year_End)+1,MIN(BN1+1,5),BN1))</f>
        <v>5</v>
      </c>
      <c r="BP1" s="163">
        <f>IF(BP$4&lt;Fin_Year_End,1,IF(MONTH(BP$4)=MONTH(Fin_Year_End)+1,MIN(BO1+1,5),BO1))</f>
        <v>5</v>
      </c>
      <c r="BQ1" s="163">
        <f>IF(BQ$4&lt;Fin_Year_End,1,IF(MONTH(BQ$4)=MONTH(Fin_Year_End)+1,MIN(BP1+1,5),BP1))</f>
        <v>5</v>
      </c>
      <c r="BR1" s="163">
        <f>IF(BR$4&lt;Fin_Year_End,1,IF(MONTH(BR$4)=MONTH(Fin_Year_End)+1,MIN(BQ1+1,5),BQ1))</f>
        <v>5</v>
      </c>
    </row>
    <row r="2" ht="14.25" customHeight="1">
      <c r="A2" s="158"/>
      <c r="B2" s="159" t="s">
        <v>153</v>
      </c>
      <c r="C2" s="160"/>
      <c r="D2" s="160"/>
      <c r="E2" s="161"/>
      <c r="F2" s="161"/>
      <c r="G2" s="161"/>
      <c r="H2" s="161"/>
      <c r="I2" s="161"/>
      <c r="J2" s="162"/>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163"/>
      <c r="BL2" s="163"/>
      <c r="BM2" s="163"/>
      <c r="BN2" s="163"/>
      <c r="BO2" s="163"/>
      <c r="BP2" s="163"/>
      <c r="BQ2" s="163"/>
      <c r="BR2" s="163"/>
    </row>
    <row r="3" ht="14.25" customHeight="1">
      <c r="A3" s="158"/>
      <c r="B3" s="164"/>
      <c r="C3" s="165"/>
      <c r="D3" s="165"/>
      <c r="E3" s="166" t="str">
        <f>'Input Assumptions'!E$17</f>
        <v>2024-2025</v>
      </c>
      <c r="F3" s="166" t="str">
        <f>'Input Assumptions'!F$17</f>
        <v>2025-2026</v>
      </c>
      <c r="G3" s="166" t="str">
        <f>'Input Assumptions'!G$17</f>
        <v>2026-2027</v>
      </c>
      <c r="H3" s="166" t="str">
        <f>'Input Assumptions'!H$17</f>
        <v>2027-2028</v>
      </c>
      <c r="I3" s="166" t="str">
        <f>'Input Assumptions'!I$17</f>
        <v>2028-2029</v>
      </c>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row>
    <row r="4" ht="14.25" customHeight="1">
      <c r="A4" s="158"/>
      <c r="E4" s="41" t="str">
        <f>Model!E$12</f>
        <v>Year 1</v>
      </c>
      <c r="F4" s="41" t="str">
        <f>Model!F$12</f>
        <v>Year 2</v>
      </c>
      <c r="G4" s="41" t="str">
        <f>Model!G$12</f>
        <v>Year 3</v>
      </c>
      <c r="H4" s="41" t="str">
        <f>Model!H$12</f>
        <v>Year 4</v>
      </c>
      <c r="I4" s="41" t="str">
        <f>Model!I$12</f>
        <v>Year 5</v>
      </c>
      <c r="J4" s="16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ht="14.25" customHeight="1">
      <c r="A5" s="170"/>
      <c r="B5" s="171" t="s">
        <v>154</v>
      </c>
      <c r="C5" s="172"/>
      <c r="D5" s="172"/>
      <c r="E5" s="173">
        <f>'Input Assumptions'!E$21</f>
        <v>0.13</v>
      </c>
      <c r="F5" s="173">
        <f>'Input Assumptions'!F$21</f>
        <v>0.13</v>
      </c>
      <c r="G5" s="173">
        <f>'Input Assumptions'!G$21</f>
        <v>0.1</v>
      </c>
      <c r="H5" s="173">
        <f>'Input Assumptions'!H$21</f>
        <v>0.08</v>
      </c>
      <c r="I5" s="173">
        <f>'Input Assumptions'!I$21</f>
        <v>0.08</v>
      </c>
      <c r="J5" s="168"/>
    </row>
    <row r="6" ht="14.25" customHeight="1">
      <c r="A6" s="170"/>
      <c r="B6" s="174" t="s">
        <v>76</v>
      </c>
      <c r="C6" s="175"/>
      <c r="D6" s="175"/>
      <c r="E6" s="176">
        <f t="shared" ref="E6:I6" si="2">SUMIFS($K6:$BR6,$K$1:$BR$1,E$1)</f>
        <v>289602.7213</v>
      </c>
      <c r="F6" s="176">
        <f t="shared" si="2"/>
        <v>511549.5228</v>
      </c>
      <c r="G6" s="176">
        <f t="shared" si="2"/>
        <v>593591.9543</v>
      </c>
      <c r="H6" s="176">
        <f t="shared" si="2"/>
        <v>648639.9653</v>
      </c>
      <c r="I6" s="176">
        <f t="shared" si="2"/>
        <v>702476.7625</v>
      </c>
      <c r="J6" s="176"/>
      <c r="K6" s="170">
        <f>Model!K$26</f>
        <v>13174.85</v>
      </c>
      <c r="L6" s="170">
        <f>Model!L$26</f>
        <v>16590.55185</v>
      </c>
      <c r="M6" s="170">
        <f>Model!M$26</f>
        <v>18298.40278</v>
      </c>
      <c r="N6" s="170">
        <f>Model!N$26</f>
        <v>20006.2537</v>
      </c>
      <c r="O6" s="170">
        <f>Model!O$26</f>
        <v>21714.10463</v>
      </c>
      <c r="P6" s="170">
        <f>Model!P$26</f>
        <v>23421.95556</v>
      </c>
      <c r="Q6" s="170">
        <f>Model!Q$26</f>
        <v>25129.80648</v>
      </c>
      <c r="R6" s="170">
        <f>Model!R$26</f>
        <v>26837.65741</v>
      </c>
      <c r="S6" s="170">
        <f>Model!S$26</f>
        <v>28545.50833</v>
      </c>
      <c r="T6" s="170">
        <f>Model!T$26</f>
        <v>30253.35926</v>
      </c>
      <c r="U6" s="170">
        <f>Model!U$26</f>
        <v>31961.21019</v>
      </c>
      <c r="V6" s="170">
        <f>Model!V$26</f>
        <v>33669.06111</v>
      </c>
      <c r="W6" s="170">
        <f>Model!W$26</f>
        <v>35376.91204</v>
      </c>
      <c r="X6" s="170">
        <f>Model!X$26</f>
        <v>37084.76296</v>
      </c>
      <c r="Y6" s="170">
        <f>Model!Y$26</f>
        <v>38792.61389</v>
      </c>
      <c r="Z6" s="170">
        <f>Model!Z$26</f>
        <v>40500.46481</v>
      </c>
      <c r="AA6" s="170">
        <f>Model!AA$26</f>
        <v>42208.31574</v>
      </c>
      <c r="AB6" s="170">
        <f>Model!AB$26</f>
        <v>43916.16667</v>
      </c>
      <c r="AC6" s="170">
        <f>Model!AC$26</f>
        <v>44391.92514</v>
      </c>
      <c r="AD6" s="170">
        <f>Model!AD$26</f>
        <v>44872.83766</v>
      </c>
      <c r="AE6" s="170">
        <f>Model!AE$26</f>
        <v>45358.96007</v>
      </c>
      <c r="AF6" s="170">
        <f>Model!AF$26</f>
        <v>45850.3488</v>
      </c>
      <c r="AG6" s="170">
        <f>Model!AG$26</f>
        <v>46347.06092</v>
      </c>
      <c r="AH6" s="170">
        <f>Model!AH$26</f>
        <v>46849.15408</v>
      </c>
      <c r="AI6" s="170">
        <f>Model!AI$26</f>
        <v>47239.56369</v>
      </c>
      <c r="AJ6" s="170">
        <f>Model!AJ$26</f>
        <v>47633.22672</v>
      </c>
      <c r="AK6" s="170">
        <f>Model!AK$26</f>
        <v>48030.17028</v>
      </c>
      <c r="AL6" s="170">
        <f>Model!AL$26</f>
        <v>48430.4217</v>
      </c>
      <c r="AM6" s="170">
        <f>Model!AM$26</f>
        <v>48834.00855</v>
      </c>
      <c r="AN6" s="170">
        <f>Model!AN$26</f>
        <v>49240.95862</v>
      </c>
      <c r="AO6" s="170">
        <f>Model!AO$26</f>
        <v>49651.29994</v>
      </c>
      <c r="AP6" s="170">
        <f>Model!AP$26</f>
        <v>50065.06077</v>
      </c>
      <c r="AQ6" s="170">
        <f>Model!AQ$26</f>
        <v>50482.26961</v>
      </c>
      <c r="AR6" s="170">
        <f>Model!AR$26</f>
        <v>50902.95519</v>
      </c>
      <c r="AS6" s="170">
        <f>Model!AS$26</f>
        <v>51327.14648</v>
      </c>
      <c r="AT6" s="170">
        <f>Model!AT$26</f>
        <v>51754.87271</v>
      </c>
      <c r="AU6" s="170">
        <f>Model!AU$26</f>
        <v>52099.90519</v>
      </c>
      <c r="AV6" s="170">
        <f>Model!AV$26</f>
        <v>52447.23789</v>
      </c>
      <c r="AW6" s="170">
        <f>Model!AW$26</f>
        <v>52796.88614</v>
      </c>
      <c r="AX6" s="170">
        <f>Model!AX$26</f>
        <v>53148.86539</v>
      </c>
      <c r="AY6" s="170">
        <f>Model!AY$26</f>
        <v>53503.19115</v>
      </c>
      <c r="AZ6" s="170">
        <f>Model!AZ$26</f>
        <v>53859.8791</v>
      </c>
      <c r="BA6" s="170">
        <f>Model!BA$26</f>
        <v>54218.94496</v>
      </c>
      <c r="BB6" s="170">
        <f>Model!BB$26</f>
        <v>54580.40459</v>
      </c>
      <c r="BC6" s="170">
        <f>Model!BC$26</f>
        <v>54944.27395</v>
      </c>
      <c r="BD6" s="170">
        <f>Model!BD$26</f>
        <v>55310.56911</v>
      </c>
      <c r="BE6" s="170">
        <f>Model!BE$26</f>
        <v>55679.30624</v>
      </c>
      <c r="BF6" s="170">
        <f>Model!BF$26</f>
        <v>56050.50161</v>
      </c>
      <c r="BG6" s="170">
        <f>Model!BG$26</f>
        <v>56424.17163</v>
      </c>
      <c r="BH6" s="170">
        <f>Model!BH$26</f>
        <v>56800.33277</v>
      </c>
      <c r="BI6" s="170">
        <f>Model!BI$26</f>
        <v>57179.00166</v>
      </c>
      <c r="BJ6" s="170">
        <f>Model!BJ$26</f>
        <v>57560.195</v>
      </c>
      <c r="BK6" s="170">
        <f>Model!BK$26</f>
        <v>57943.92963</v>
      </c>
      <c r="BL6" s="170">
        <f>Model!BL$26</f>
        <v>58330.2225</v>
      </c>
      <c r="BM6" s="170">
        <f>Model!BM$26</f>
        <v>58719.09065</v>
      </c>
      <c r="BN6" s="170">
        <f>Model!BN$26</f>
        <v>59110.55125</v>
      </c>
      <c r="BO6" s="170">
        <f>Model!BO$26</f>
        <v>59504.62159</v>
      </c>
      <c r="BP6" s="170">
        <f>Model!BP$26</f>
        <v>59901.31907</v>
      </c>
      <c r="BQ6" s="170">
        <f>Model!BQ$26</f>
        <v>60300.6612</v>
      </c>
      <c r="BR6" s="170">
        <f>Model!BR$26</f>
        <v>60702.66561</v>
      </c>
    </row>
    <row r="7" ht="14.25" customHeight="1">
      <c r="A7" s="170"/>
      <c r="B7" s="177"/>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row>
    <row r="8" ht="14.25" customHeight="1">
      <c r="A8" s="170"/>
      <c r="B8" s="174" t="s">
        <v>155</v>
      </c>
      <c r="C8" s="175"/>
      <c r="D8" s="175"/>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ht="14.25" customHeight="1">
      <c r="A9" s="170"/>
      <c r="B9" s="178" t="s">
        <v>156</v>
      </c>
      <c r="C9" s="179"/>
      <c r="D9" s="179"/>
      <c r="E9" s="170">
        <f t="shared" ref="E9:I9" si="3">SUMIFS($K9:$BR9,$K$1:$BR$1,E$1)</f>
        <v>92672.87081</v>
      </c>
      <c r="F9" s="170">
        <f t="shared" si="3"/>
        <v>163695.8473</v>
      </c>
      <c r="G9" s="170">
        <f t="shared" si="3"/>
        <v>189949.4254</v>
      </c>
      <c r="H9" s="170">
        <f t="shared" si="3"/>
        <v>207564.7889</v>
      </c>
      <c r="I9" s="170">
        <f t="shared" si="3"/>
        <v>224792.564</v>
      </c>
      <c r="J9" s="170"/>
      <c r="K9" s="170">
        <f>-Model!K35</f>
        <v>4215.952</v>
      </c>
      <c r="L9" s="170">
        <f>-Model!L35</f>
        <v>5308.976593</v>
      </c>
      <c r="M9" s="170">
        <f>-Model!M35</f>
        <v>5855.488889</v>
      </c>
      <c r="N9" s="170">
        <f>-Model!N35</f>
        <v>6402.001185</v>
      </c>
      <c r="O9" s="170">
        <f>-Model!O35</f>
        <v>6948.513481</v>
      </c>
      <c r="P9" s="170">
        <f>-Model!P35</f>
        <v>7495.025778</v>
      </c>
      <c r="Q9" s="170">
        <f>-Model!Q35</f>
        <v>8041.538074</v>
      </c>
      <c r="R9" s="170">
        <f>-Model!R35</f>
        <v>8588.05037</v>
      </c>
      <c r="S9" s="170">
        <f>-Model!S35</f>
        <v>9134.562667</v>
      </c>
      <c r="T9" s="170">
        <f>-Model!T35</f>
        <v>9681.074963</v>
      </c>
      <c r="U9" s="170">
        <f>-Model!U35</f>
        <v>10227.58726</v>
      </c>
      <c r="V9" s="170">
        <f>-Model!V35</f>
        <v>10774.09956</v>
      </c>
      <c r="W9" s="170">
        <f>-Model!W35</f>
        <v>11320.61185</v>
      </c>
      <c r="X9" s="170">
        <f>-Model!X35</f>
        <v>11867.12415</v>
      </c>
      <c r="Y9" s="170">
        <f>-Model!Y35</f>
        <v>12413.63644</v>
      </c>
      <c r="Z9" s="170">
        <f>-Model!Z35</f>
        <v>12960.14874</v>
      </c>
      <c r="AA9" s="170">
        <f>-Model!AA35</f>
        <v>13506.66104</v>
      </c>
      <c r="AB9" s="170">
        <f>-Model!AB35</f>
        <v>14053.17333</v>
      </c>
      <c r="AC9" s="170">
        <f>-Model!AC35</f>
        <v>14205.41604</v>
      </c>
      <c r="AD9" s="170">
        <f>-Model!AD35</f>
        <v>14359.30805</v>
      </c>
      <c r="AE9" s="170">
        <f>-Model!AE35</f>
        <v>14514.86722</v>
      </c>
      <c r="AF9" s="170">
        <f>-Model!AF35</f>
        <v>14672.11162</v>
      </c>
      <c r="AG9" s="170">
        <f>-Model!AG35</f>
        <v>14831.05949</v>
      </c>
      <c r="AH9" s="170">
        <f>-Model!AH35</f>
        <v>14991.7293</v>
      </c>
      <c r="AI9" s="170">
        <f>-Model!AI35</f>
        <v>15116.66038</v>
      </c>
      <c r="AJ9" s="170">
        <f>-Model!AJ35</f>
        <v>15242.63255</v>
      </c>
      <c r="AK9" s="170">
        <f>-Model!AK35</f>
        <v>15369.65449</v>
      </c>
      <c r="AL9" s="170">
        <f>-Model!AL35</f>
        <v>15497.73494</v>
      </c>
      <c r="AM9" s="170">
        <f>-Model!AM35</f>
        <v>15626.88273</v>
      </c>
      <c r="AN9" s="170">
        <f>-Model!AN35</f>
        <v>15757.10676</v>
      </c>
      <c r="AO9" s="170">
        <f>-Model!AO35</f>
        <v>15888.41598</v>
      </c>
      <c r="AP9" s="170">
        <f>-Model!AP35</f>
        <v>16020.81945</v>
      </c>
      <c r="AQ9" s="170">
        <f>-Model!AQ35</f>
        <v>16154.32628</v>
      </c>
      <c r="AR9" s="170">
        <f>-Model!AR35</f>
        <v>16288.94566</v>
      </c>
      <c r="AS9" s="170">
        <f>-Model!AS35</f>
        <v>16424.68688</v>
      </c>
      <c r="AT9" s="170">
        <f>-Model!AT35</f>
        <v>16561.55927</v>
      </c>
      <c r="AU9" s="170">
        <f>-Model!AU35</f>
        <v>16671.96966</v>
      </c>
      <c r="AV9" s="170">
        <f>-Model!AV35</f>
        <v>16783.11613</v>
      </c>
      <c r="AW9" s="170">
        <f>-Model!AW35</f>
        <v>16895.00357</v>
      </c>
      <c r="AX9" s="170">
        <f>-Model!AX35</f>
        <v>17007.63692</v>
      </c>
      <c r="AY9" s="170">
        <f>-Model!AY35</f>
        <v>17121.02117</v>
      </c>
      <c r="AZ9" s="170">
        <f>-Model!AZ35</f>
        <v>17235.16131</v>
      </c>
      <c r="BA9" s="170">
        <f>-Model!BA35</f>
        <v>17350.06239</v>
      </c>
      <c r="BB9" s="170">
        <f>-Model!BB35</f>
        <v>17465.72947</v>
      </c>
      <c r="BC9" s="170">
        <f>-Model!BC35</f>
        <v>17582.16766</v>
      </c>
      <c r="BD9" s="170">
        <f>-Model!BD35</f>
        <v>17699.38212</v>
      </c>
      <c r="BE9" s="170">
        <f>-Model!BE35</f>
        <v>17817.378</v>
      </c>
      <c r="BF9" s="170">
        <f>-Model!BF35</f>
        <v>17936.16052</v>
      </c>
      <c r="BG9" s="170">
        <f>-Model!BG35</f>
        <v>18055.73492</v>
      </c>
      <c r="BH9" s="170">
        <f>-Model!BH35</f>
        <v>18176.10649</v>
      </c>
      <c r="BI9" s="170">
        <f>-Model!BI35</f>
        <v>18297.28053</v>
      </c>
      <c r="BJ9" s="170">
        <f>-Model!BJ35</f>
        <v>18419.2624</v>
      </c>
      <c r="BK9" s="170">
        <f>-Model!BK35</f>
        <v>18542.05748</v>
      </c>
      <c r="BL9" s="170">
        <f>-Model!BL35</f>
        <v>18665.6712</v>
      </c>
      <c r="BM9" s="170">
        <f>-Model!BM35</f>
        <v>18790.10901</v>
      </c>
      <c r="BN9" s="170">
        <f>-Model!BN35</f>
        <v>18915.3764</v>
      </c>
      <c r="BO9" s="170">
        <f>-Model!BO35</f>
        <v>19041.47891</v>
      </c>
      <c r="BP9" s="170">
        <f>-Model!BP35</f>
        <v>19168.4221</v>
      </c>
      <c r="BQ9" s="170">
        <f>-Model!BQ35</f>
        <v>19296.21158</v>
      </c>
      <c r="BR9" s="170">
        <f>-Model!BR35</f>
        <v>19424.85299</v>
      </c>
    </row>
    <row r="10" ht="14.25" customHeight="1">
      <c r="A10" s="170"/>
      <c r="B10" s="178" t="s">
        <v>157</v>
      </c>
      <c r="C10" s="179"/>
      <c r="D10" s="179"/>
      <c r="E10" s="170">
        <f t="shared" ref="E10:I10" si="4">SUMIFS($K10:$BR10,$K$1:$BR$1,E$1)</f>
        <v>20272.19049</v>
      </c>
      <c r="F10" s="170">
        <f t="shared" si="4"/>
        <v>35808.46659</v>
      </c>
      <c r="G10" s="170">
        <f t="shared" si="4"/>
        <v>41551.4368</v>
      </c>
      <c r="H10" s="170">
        <f t="shared" si="4"/>
        <v>45404.79757</v>
      </c>
      <c r="I10" s="170">
        <f t="shared" si="4"/>
        <v>49173.37338</v>
      </c>
      <c r="J10" s="170"/>
      <c r="K10" s="170">
        <f>-Model!K29</f>
        <v>922.2395</v>
      </c>
      <c r="L10" s="170">
        <f>-Model!L29</f>
        <v>1161.33863</v>
      </c>
      <c r="M10" s="170">
        <f>-Model!M29</f>
        <v>1280.888194</v>
      </c>
      <c r="N10" s="170">
        <f>-Model!N29</f>
        <v>1400.437759</v>
      </c>
      <c r="O10" s="170">
        <f>-Model!O29</f>
        <v>1519.987324</v>
      </c>
      <c r="P10" s="170">
        <f>-Model!P29</f>
        <v>1639.536889</v>
      </c>
      <c r="Q10" s="170">
        <f>-Model!Q29</f>
        <v>1759.086454</v>
      </c>
      <c r="R10" s="170">
        <f>-Model!R29</f>
        <v>1878.636019</v>
      </c>
      <c r="S10" s="170">
        <f>-Model!S29</f>
        <v>1998.185583</v>
      </c>
      <c r="T10" s="170">
        <f>-Model!T29</f>
        <v>2117.735148</v>
      </c>
      <c r="U10" s="170">
        <f>-Model!U29</f>
        <v>2237.284713</v>
      </c>
      <c r="V10" s="170">
        <f>-Model!V29</f>
        <v>2356.834278</v>
      </c>
      <c r="W10" s="170">
        <f>-Model!W29</f>
        <v>2476.383843</v>
      </c>
      <c r="X10" s="170">
        <f>-Model!X29</f>
        <v>2595.933407</v>
      </c>
      <c r="Y10" s="170">
        <f>-Model!Y29</f>
        <v>2715.482972</v>
      </c>
      <c r="Z10" s="170">
        <f>-Model!Z29</f>
        <v>2835.032537</v>
      </c>
      <c r="AA10" s="170">
        <f>-Model!AA29</f>
        <v>2954.582102</v>
      </c>
      <c r="AB10" s="170">
        <f>-Model!AB29</f>
        <v>3074.131667</v>
      </c>
      <c r="AC10" s="170">
        <f>-Model!AC29</f>
        <v>3107.43476</v>
      </c>
      <c r="AD10" s="170">
        <f>-Model!AD29</f>
        <v>3141.098636</v>
      </c>
      <c r="AE10" s="170">
        <f>-Model!AE29</f>
        <v>3175.127205</v>
      </c>
      <c r="AF10" s="170">
        <f>-Model!AF29</f>
        <v>3209.524416</v>
      </c>
      <c r="AG10" s="170">
        <f>-Model!AG29</f>
        <v>3244.294264</v>
      </c>
      <c r="AH10" s="170">
        <f>-Model!AH29</f>
        <v>3279.440785</v>
      </c>
      <c r="AI10" s="170">
        <f>-Model!AI29</f>
        <v>3306.769458</v>
      </c>
      <c r="AJ10" s="170">
        <f>-Model!AJ29</f>
        <v>3334.325871</v>
      </c>
      <c r="AK10" s="170">
        <f>-Model!AK29</f>
        <v>3362.11192</v>
      </c>
      <c r="AL10" s="170">
        <f>-Model!AL29</f>
        <v>3390.129519</v>
      </c>
      <c r="AM10" s="170">
        <f>-Model!AM29</f>
        <v>3418.380598</v>
      </c>
      <c r="AN10" s="170">
        <f>-Model!AN29</f>
        <v>3446.867103</v>
      </c>
      <c r="AO10" s="170">
        <f>-Model!AO29</f>
        <v>3475.590996</v>
      </c>
      <c r="AP10" s="170">
        <f>-Model!AP29</f>
        <v>3504.554254</v>
      </c>
      <c r="AQ10" s="170">
        <f>-Model!AQ29</f>
        <v>3533.758873</v>
      </c>
      <c r="AR10" s="170">
        <f>-Model!AR29</f>
        <v>3563.206863</v>
      </c>
      <c r="AS10" s="170">
        <f>-Model!AS29</f>
        <v>3592.900254</v>
      </c>
      <c r="AT10" s="170">
        <f>-Model!AT29</f>
        <v>3622.841089</v>
      </c>
      <c r="AU10" s="170">
        <f>-Model!AU29</f>
        <v>3646.993363</v>
      </c>
      <c r="AV10" s="170">
        <f>-Model!AV29</f>
        <v>3671.306652</v>
      </c>
      <c r="AW10" s="170">
        <f>-Model!AW29</f>
        <v>3695.78203</v>
      </c>
      <c r="AX10" s="170">
        <f>-Model!AX29</f>
        <v>3720.420577</v>
      </c>
      <c r="AY10" s="170">
        <f>-Model!AY29</f>
        <v>3745.223381</v>
      </c>
      <c r="AZ10" s="170">
        <f>-Model!AZ29</f>
        <v>3770.191537</v>
      </c>
      <c r="BA10" s="170">
        <f>-Model!BA29</f>
        <v>3795.326147</v>
      </c>
      <c r="BB10" s="170">
        <f>-Model!BB29</f>
        <v>3820.628321</v>
      </c>
      <c r="BC10" s="170">
        <f>-Model!BC29</f>
        <v>3846.099177</v>
      </c>
      <c r="BD10" s="170">
        <f>-Model!BD29</f>
        <v>3871.739838</v>
      </c>
      <c r="BE10" s="170">
        <f>-Model!BE29</f>
        <v>3897.551437</v>
      </c>
      <c r="BF10" s="170">
        <f>-Model!BF29</f>
        <v>3923.535113</v>
      </c>
      <c r="BG10" s="170">
        <f>-Model!BG29</f>
        <v>3949.692014</v>
      </c>
      <c r="BH10" s="170">
        <f>-Model!BH29</f>
        <v>3976.023294</v>
      </c>
      <c r="BI10" s="170">
        <f>-Model!BI29</f>
        <v>4002.530116</v>
      </c>
      <c r="BJ10" s="170">
        <f>-Model!BJ29</f>
        <v>4029.21365</v>
      </c>
      <c r="BK10" s="170">
        <f>-Model!BK29</f>
        <v>4056.075074</v>
      </c>
      <c r="BL10" s="170">
        <f>-Model!BL29</f>
        <v>4083.115575</v>
      </c>
      <c r="BM10" s="170">
        <f>-Model!BM29</f>
        <v>4110.336345</v>
      </c>
      <c r="BN10" s="170">
        <f>-Model!BN29</f>
        <v>4137.738588</v>
      </c>
      <c r="BO10" s="170">
        <f>-Model!BO29</f>
        <v>4165.323512</v>
      </c>
      <c r="BP10" s="170">
        <f>-Model!BP29</f>
        <v>4193.092335</v>
      </c>
      <c r="BQ10" s="170">
        <f>-Model!BQ29</f>
        <v>4221.046284</v>
      </c>
      <c r="BR10" s="170">
        <f>-Model!BR29</f>
        <v>4249.186592</v>
      </c>
    </row>
    <row r="11" ht="14.25" customHeight="1">
      <c r="A11" s="170"/>
      <c r="B11" s="180" t="s">
        <v>158</v>
      </c>
      <c r="C11" s="181"/>
      <c r="D11" s="181"/>
      <c r="E11" s="182">
        <f t="shared" ref="E11:I11" si="5">SUMIFS($K11:$BR11,$K$1:$BR$1,E$1)</f>
        <v>0</v>
      </c>
      <c r="F11" s="182">
        <f t="shared" si="5"/>
        <v>0</v>
      </c>
      <c r="G11" s="182">
        <f t="shared" si="5"/>
        <v>0</v>
      </c>
      <c r="H11" s="182">
        <f t="shared" si="5"/>
        <v>0</v>
      </c>
      <c r="I11" s="182">
        <f t="shared" si="5"/>
        <v>0</v>
      </c>
      <c r="J11" s="170"/>
      <c r="K11" s="170">
        <f>-Model!K32</f>
        <v>0</v>
      </c>
      <c r="L11" s="170">
        <f>-Model!L32</f>
        <v>0</v>
      </c>
      <c r="M11" s="170">
        <f>-Model!M32</f>
        <v>0</v>
      </c>
      <c r="N11" s="170">
        <f>-Model!N32</f>
        <v>0</v>
      </c>
      <c r="O11" s="170">
        <f>-Model!O32</f>
        <v>0</v>
      </c>
      <c r="P11" s="170">
        <f>-Model!P32</f>
        <v>0</v>
      </c>
      <c r="Q11" s="170">
        <f>-Model!Q32</f>
        <v>0</v>
      </c>
      <c r="R11" s="170">
        <f>-Model!R32</f>
        <v>0</v>
      </c>
      <c r="S11" s="170">
        <f>-Model!S32</f>
        <v>0</v>
      </c>
      <c r="T11" s="170">
        <f>-Model!T32</f>
        <v>0</v>
      </c>
      <c r="U11" s="170">
        <f>-Model!U32</f>
        <v>0</v>
      </c>
      <c r="V11" s="170">
        <f>-Model!V32</f>
        <v>0</v>
      </c>
      <c r="W11" s="170">
        <f>-Model!W32</f>
        <v>0</v>
      </c>
      <c r="X11" s="170">
        <f>-Model!X32</f>
        <v>0</v>
      </c>
      <c r="Y11" s="170">
        <f>-Model!Y32</f>
        <v>0</v>
      </c>
      <c r="Z11" s="170">
        <f>-Model!Z32</f>
        <v>0</v>
      </c>
      <c r="AA11" s="170">
        <f>-Model!AA32</f>
        <v>0</v>
      </c>
      <c r="AB11" s="170">
        <f>-Model!AB32</f>
        <v>0</v>
      </c>
      <c r="AC11" s="170">
        <f>-Model!AC32</f>
        <v>0</v>
      </c>
      <c r="AD11" s="170">
        <f>-Model!AD32</f>
        <v>0</v>
      </c>
      <c r="AE11" s="170">
        <f>-Model!AE32</f>
        <v>0</v>
      </c>
      <c r="AF11" s="170">
        <f>-Model!AF32</f>
        <v>0</v>
      </c>
      <c r="AG11" s="170">
        <f>-Model!AG32</f>
        <v>0</v>
      </c>
      <c r="AH11" s="170">
        <f>-Model!AH32</f>
        <v>0</v>
      </c>
      <c r="AI11" s="170">
        <f>-Model!AI32</f>
        <v>0</v>
      </c>
      <c r="AJ11" s="170">
        <f>-Model!AJ32</f>
        <v>0</v>
      </c>
      <c r="AK11" s="170">
        <f>-Model!AK32</f>
        <v>0</v>
      </c>
      <c r="AL11" s="170">
        <f>-Model!AL32</f>
        <v>0</v>
      </c>
      <c r="AM11" s="170">
        <f>-Model!AM32</f>
        <v>0</v>
      </c>
      <c r="AN11" s="170">
        <f>-Model!AN32</f>
        <v>0</v>
      </c>
      <c r="AO11" s="170">
        <f>-Model!AO32</f>
        <v>0</v>
      </c>
      <c r="AP11" s="170">
        <f>-Model!AP32</f>
        <v>0</v>
      </c>
      <c r="AQ11" s="170">
        <f>-Model!AQ32</f>
        <v>0</v>
      </c>
      <c r="AR11" s="170">
        <f>-Model!AR32</f>
        <v>0</v>
      </c>
      <c r="AS11" s="170">
        <f>-Model!AS32</f>
        <v>0</v>
      </c>
      <c r="AT11" s="170">
        <f>-Model!AT32</f>
        <v>0</v>
      </c>
      <c r="AU11" s="170">
        <f>-Model!AU32</f>
        <v>0</v>
      </c>
      <c r="AV11" s="170">
        <f>-Model!AV32</f>
        <v>0</v>
      </c>
      <c r="AW11" s="170">
        <f>-Model!AW32</f>
        <v>0</v>
      </c>
      <c r="AX11" s="170">
        <f>-Model!AX32</f>
        <v>0</v>
      </c>
      <c r="AY11" s="170">
        <f>-Model!AY32</f>
        <v>0</v>
      </c>
      <c r="AZ11" s="170">
        <f>-Model!AZ32</f>
        <v>0</v>
      </c>
      <c r="BA11" s="170">
        <f>-Model!BA32</f>
        <v>0</v>
      </c>
      <c r="BB11" s="170">
        <f>-Model!BB32</f>
        <v>0</v>
      </c>
      <c r="BC11" s="170">
        <f>-Model!BC32</f>
        <v>0</v>
      </c>
      <c r="BD11" s="170">
        <f>-Model!BD32</f>
        <v>0</v>
      </c>
      <c r="BE11" s="170">
        <f>-Model!BE32</f>
        <v>0</v>
      </c>
      <c r="BF11" s="170">
        <f>-Model!BF32</f>
        <v>0</v>
      </c>
      <c r="BG11" s="170">
        <f>-Model!BG32</f>
        <v>0</v>
      </c>
      <c r="BH11" s="170">
        <f>-Model!BH32</f>
        <v>0</v>
      </c>
      <c r="BI11" s="170">
        <f>-Model!BI32</f>
        <v>0</v>
      </c>
      <c r="BJ11" s="170">
        <f>-Model!BJ32</f>
        <v>0</v>
      </c>
      <c r="BK11" s="170">
        <f>-Model!BK32</f>
        <v>0</v>
      </c>
      <c r="BL11" s="170">
        <f>-Model!BL32</f>
        <v>0</v>
      </c>
      <c r="BM11" s="170">
        <f>-Model!BM32</f>
        <v>0</v>
      </c>
      <c r="BN11" s="170">
        <f>-Model!BN32</f>
        <v>0</v>
      </c>
      <c r="BO11" s="170">
        <f>-Model!BO32</f>
        <v>0</v>
      </c>
      <c r="BP11" s="170">
        <f>-Model!BP32</f>
        <v>0</v>
      </c>
      <c r="BQ11" s="170">
        <f>-Model!BQ32</f>
        <v>0</v>
      </c>
      <c r="BR11" s="170">
        <f>-Model!BR32</f>
        <v>0</v>
      </c>
    </row>
    <row r="12" ht="14.25" customHeight="1">
      <c r="A12" s="170"/>
      <c r="B12" s="183" t="s">
        <v>159</v>
      </c>
      <c r="C12" s="184"/>
      <c r="D12" s="184"/>
      <c r="E12" s="185">
        <f t="shared" ref="E12:I12" si="6">SUM(E9:E11)</f>
        <v>112945.0613</v>
      </c>
      <c r="F12" s="185">
        <f t="shared" si="6"/>
        <v>199504.3139</v>
      </c>
      <c r="G12" s="185">
        <f t="shared" si="6"/>
        <v>231500.8622</v>
      </c>
      <c r="H12" s="185">
        <f t="shared" si="6"/>
        <v>252969.5865</v>
      </c>
      <c r="I12" s="185">
        <f t="shared" si="6"/>
        <v>273965.9374</v>
      </c>
      <c r="J12" s="170"/>
      <c r="K12" s="185">
        <f t="shared" ref="K12:BR12" si="7">SUM(K9:K11)</f>
        <v>5138.1915</v>
      </c>
      <c r="L12" s="185">
        <f t="shared" si="7"/>
        <v>6470.315222</v>
      </c>
      <c r="M12" s="185">
        <f t="shared" si="7"/>
        <v>7136.377083</v>
      </c>
      <c r="N12" s="185">
        <f t="shared" si="7"/>
        <v>7802.438944</v>
      </c>
      <c r="O12" s="185">
        <f t="shared" si="7"/>
        <v>8468.500806</v>
      </c>
      <c r="P12" s="185">
        <f t="shared" si="7"/>
        <v>9134.562667</v>
      </c>
      <c r="Q12" s="185">
        <f t="shared" si="7"/>
        <v>9800.624528</v>
      </c>
      <c r="R12" s="185">
        <f t="shared" si="7"/>
        <v>10466.68639</v>
      </c>
      <c r="S12" s="185">
        <f t="shared" si="7"/>
        <v>11132.74825</v>
      </c>
      <c r="T12" s="185">
        <f t="shared" si="7"/>
        <v>11798.81011</v>
      </c>
      <c r="U12" s="185">
        <f t="shared" si="7"/>
        <v>12464.87197</v>
      </c>
      <c r="V12" s="185">
        <f t="shared" si="7"/>
        <v>13130.93383</v>
      </c>
      <c r="W12" s="185">
        <f t="shared" si="7"/>
        <v>13796.99569</v>
      </c>
      <c r="X12" s="185">
        <f t="shared" si="7"/>
        <v>14463.05756</v>
      </c>
      <c r="Y12" s="185">
        <f t="shared" si="7"/>
        <v>15129.11942</v>
      </c>
      <c r="Z12" s="185">
        <f t="shared" si="7"/>
        <v>15795.18128</v>
      </c>
      <c r="AA12" s="185">
        <f t="shared" si="7"/>
        <v>16461.24314</v>
      </c>
      <c r="AB12" s="185">
        <f t="shared" si="7"/>
        <v>17127.305</v>
      </c>
      <c r="AC12" s="185">
        <f t="shared" si="7"/>
        <v>17312.8508</v>
      </c>
      <c r="AD12" s="185">
        <f t="shared" si="7"/>
        <v>17500.40669</v>
      </c>
      <c r="AE12" s="185">
        <f t="shared" si="7"/>
        <v>17689.99443</v>
      </c>
      <c r="AF12" s="185">
        <f t="shared" si="7"/>
        <v>17881.63603</v>
      </c>
      <c r="AG12" s="185">
        <f t="shared" si="7"/>
        <v>18075.35376</v>
      </c>
      <c r="AH12" s="185">
        <f t="shared" si="7"/>
        <v>18271.17009</v>
      </c>
      <c r="AI12" s="185">
        <f t="shared" si="7"/>
        <v>18423.42984</v>
      </c>
      <c r="AJ12" s="185">
        <f t="shared" si="7"/>
        <v>18576.95842</v>
      </c>
      <c r="AK12" s="185">
        <f t="shared" si="7"/>
        <v>18731.76641</v>
      </c>
      <c r="AL12" s="185">
        <f t="shared" si="7"/>
        <v>18887.86446</v>
      </c>
      <c r="AM12" s="185">
        <f t="shared" si="7"/>
        <v>19045.26333</v>
      </c>
      <c r="AN12" s="185">
        <f t="shared" si="7"/>
        <v>19203.97386</v>
      </c>
      <c r="AO12" s="185">
        <f t="shared" si="7"/>
        <v>19364.00698</v>
      </c>
      <c r="AP12" s="185">
        <f t="shared" si="7"/>
        <v>19525.3737</v>
      </c>
      <c r="AQ12" s="185">
        <f t="shared" si="7"/>
        <v>19688.08515</v>
      </c>
      <c r="AR12" s="185">
        <f t="shared" si="7"/>
        <v>19852.15252</v>
      </c>
      <c r="AS12" s="185">
        <f t="shared" si="7"/>
        <v>20017.58713</v>
      </c>
      <c r="AT12" s="185">
        <f t="shared" si="7"/>
        <v>20184.40036</v>
      </c>
      <c r="AU12" s="185">
        <f t="shared" si="7"/>
        <v>20318.96302</v>
      </c>
      <c r="AV12" s="185">
        <f t="shared" si="7"/>
        <v>20454.42278</v>
      </c>
      <c r="AW12" s="185">
        <f t="shared" si="7"/>
        <v>20590.7856</v>
      </c>
      <c r="AX12" s="185">
        <f t="shared" si="7"/>
        <v>20728.0575</v>
      </c>
      <c r="AY12" s="185">
        <f t="shared" si="7"/>
        <v>20866.24455</v>
      </c>
      <c r="AZ12" s="185">
        <f t="shared" si="7"/>
        <v>21005.35285</v>
      </c>
      <c r="BA12" s="185">
        <f t="shared" si="7"/>
        <v>21145.38853</v>
      </c>
      <c r="BB12" s="185">
        <f t="shared" si="7"/>
        <v>21286.35779</v>
      </c>
      <c r="BC12" s="185">
        <f t="shared" si="7"/>
        <v>21428.26684</v>
      </c>
      <c r="BD12" s="185">
        <f t="shared" si="7"/>
        <v>21571.12195</v>
      </c>
      <c r="BE12" s="185">
        <f t="shared" si="7"/>
        <v>21714.92943</v>
      </c>
      <c r="BF12" s="185">
        <f t="shared" si="7"/>
        <v>21859.69563</v>
      </c>
      <c r="BG12" s="185">
        <f t="shared" si="7"/>
        <v>22005.42693</v>
      </c>
      <c r="BH12" s="185">
        <f t="shared" si="7"/>
        <v>22152.12978</v>
      </c>
      <c r="BI12" s="185">
        <f t="shared" si="7"/>
        <v>22299.81065</v>
      </c>
      <c r="BJ12" s="185">
        <f t="shared" si="7"/>
        <v>22448.47605</v>
      </c>
      <c r="BK12" s="185">
        <f t="shared" si="7"/>
        <v>22598.13256</v>
      </c>
      <c r="BL12" s="185">
        <f t="shared" si="7"/>
        <v>22748.78677</v>
      </c>
      <c r="BM12" s="185">
        <f t="shared" si="7"/>
        <v>22900.44535</v>
      </c>
      <c r="BN12" s="185">
        <f t="shared" si="7"/>
        <v>23053.11499</v>
      </c>
      <c r="BO12" s="185">
        <f t="shared" si="7"/>
        <v>23206.80242</v>
      </c>
      <c r="BP12" s="185">
        <f t="shared" si="7"/>
        <v>23361.51444</v>
      </c>
      <c r="BQ12" s="185">
        <f t="shared" si="7"/>
        <v>23517.25787</v>
      </c>
      <c r="BR12" s="185">
        <f t="shared" si="7"/>
        <v>23674.03959</v>
      </c>
    </row>
    <row r="13" ht="14.25" customHeight="1">
      <c r="A13" s="170"/>
      <c r="B13" s="177"/>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row>
    <row r="14" ht="14.25" customHeight="1">
      <c r="A14" s="170"/>
      <c r="B14" s="186" t="s">
        <v>109</v>
      </c>
      <c r="C14" s="187"/>
      <c r="D14" s="187"/>
      <c r="E14" s="170">
        <f t="shared" ref="E14:I14" si="8">+E6-E12</f>
        <v>176657.66</v>
      </c>
      <c r="F14" s="170">
        <f t="shared" si="8"/>
        <v>312045.2089</v>
      </c>
      <c r="G14" s="170">
        <f t="shared" si="8"/>
        <v>362091.0921</v>
      </c>
      <c r="H14" s="170">
        <f t="shared" si="8"/>
        <v>395670.3788</v>
      </c>
      <c r="I14" s="170">
        <f t="shared" si="8"/>
        <v>428510.8252</v>
      </c>
      <c r="J14" s="170"/>
      <c r="K14" s="170">
        <f t="shared" ref="K14:BR14" si="9">+K6-K12</f>
        <v>8036.6585</v>
      </c>
      <c r="L14" s="170">
        <f t="shared" si="9"/>
        <v>10120.23663</v>
      </c>
      <c r="M14" s="170">
        <f t="shared" si="9"/>
        <v>11162.02569</v>
      </c>
      <c r="N14" s="170">
        <f t="shared" si="9"/>
        <v>12203.81476</v>
      </c>
      <c r="O14" s="170">
        <f t="shared" si="9"/>
        <v>13245.60382</v>
      </c>
      <c r="P14" s="170">
        <f t="shared" si="9"/>
        <v>14287.39289</v>
      </c>
      <c r="Q14" s="170">
        <f t="shared" si="9"/>
        <v>15329.18195</v>
      </c>
      <c r="R14" s="170">
        <f t="shared" si="9"/>
        <v>16370.97102</v>
      </c>
      <c r="S14" s="170">
        <f t="shared" si="9"/>
        <v>17412.76008</v>
      </c>
      <c r="T14" s="170">
        <f t="shared" si="9"/>
        <v>18454.54915</v>
      </c>
      <c r="U14" s="170">
        <f t="shared" si="9"/>
        <v>19496.33821</v>
      </c>
      <c r="V14" s="170">
        <f t="shared" si="9"/>
        <v>20538.12728</v>
      </c>
      <c r="W14" s="170">
        <f t="shared" si="9"/>
        <v>21579.91634</v>
      </c>
      <c r="X14" s="170">
        <f t="shared" si="9"/>
        <v>22621.70541</v>
      </c>
      <c r="Y14" s="170">
        <f t="shared" si="9"/>
        <v>23663.49447</v>
      </c>
      <c r="Z14" s="170">
        <f t="shared" si="9"/>
        <v>24705.28354</v>
      </c>
      <c r="AA14" s="170">
        <f t="shared" si="9"/>
        <v>25747.0726</v>
      </c>
      <c r="AB14" s="170">
        <f t="shared" si="9"/>
        <v>26788.86167</v>
      </c>
      <c r="AC14" s="170">
        <f t="shared" si="9"/>
        <v>27079.07433</v>
      </c>
      <c r="AD14" s="170">
        <f t="shared" si="9"/>
        <v>27372.43097</v>
      </c>
      <c r="AE14" s="170">
        <f t="shared" si="9"/>
        <v>27668.96564</v>
      </c>
      <c r="AF14" s="170">
        <f t="shared" si="9"/>
        <v>27968.71277</v>
      </c>
      <c r="AG14" s="170">
        <f t="shared" si="9"/>
        <v>28271.70716</v>
      </c>
      <c r="AH14" s="170">
        <f t="shared" si="9"/>
        <v>28577.98399</v>
      </c>
      <c r="AI14" s="170">
        <f t="shared" si="9"/>
        <v>28816.13385</v>
      </c>
      <c r="AJ14" s="170">
        <f t="shared" si="9"/>
        <v>29056.2683</v>
      </c>
      <c r="AK14" s="170">
        <f t="shared" si="9"/>
        <v>29298.40387</v>
      </c>
      <c r="AL14" s="170">
        <f t="shared" si="9"/>
        <v>29542.55724</v>
      </c>
      <c r="AM14" s="170">
        <f t="shared" si="9"/>
        <v>29788.74521</v>
      </c>
      <c r="AN14" s="170">
        <f t="shared" si="9"/>
        <v>30036.98476</v>
      </c>
      <c r="AO14" s="170">
        <f t="shared" si="9"/>
        <v>30287.29296</v>
      </c>
      <c r="AP14" s="170">
        <f t="shared" si="9"/>
        <v>30539.68707</v>
      </c>
      <c r="AQ14" s="170">
        <f t="shared" si="9"/>
        <v>30794.18446</v>
      </c>
      <c r="AR14" s="170">
        <f t="shared" si="9"/>
        <v>31050.80267</v>
      </c>
      <c r="AS14" s="170">
        <f t="shared" si="9"/>
        <v>31309.55936</v>
      </c>
      <c r="AT14" s="170">
        <f t="shared" si="9"/>
        <v>31570.47235</v>
      </c>
      <c r="AU14" s="170">
        <f t="shared" si="9"/>
        <v>31780.94217</v>
      </c>
      <c r="AV14" s="170">
        <f t="shared" si="9"/>
        <v>31992.81511</v>
      </c>
      <c r="AW14" s="170">
        <f t="shared" si="9"/>
        <v>32206.10055</v>
      </c>
      <c r="AX14" s="170">
        <f t="shared" si="9"/>
        <v>32420.80788</v>
      </c>
      <c r="AY14" s="170">
        <f t="shared" si="9"/>
        <v>32636.9466</v>
      </c>
      <c r="AZ14" s="170">
        <f t="shared" si="9"/>
        <v>32854.52625</v>
      </c>
      <c r="BA14" s="170">
        <f t="shared" si="9"/>
        <v>33073.55642</v>
      </c>
      <c r="BB14" s="170">
        <f t="shared" si="9"/>
        <v>33294.0468</v>
      </c>
      <c r="BC14" s="170">
        <f t="shared" si="9"/>
        <v>33516.00711</v>
      </c>
      <c r="BD14" s="170">
        <f t="shared" si="9"/>
        <v>33739.44716</v>
      </c>
      <c r="BE14" s="170">
        <f t="shared" si="9"/>
        <v>33964.37681</v>
      </c>
      <c r="BF14" s="170">
        <f t="shared" si="9"/>
        <v>34190.80599</v>
      </c>
      <c r="BG14" s="170">
        <f t="shared" si="9"/>
        <v>34418.74469</v>
      </c>
      <c r="BH14" s="170">
        <f t="shared" si="9"/>
        <v>34648.20299</v>
      </c>
      <c r="BI14" s="170">
        <f t="shared" si="9"/>
        <v>34879.19101</v>
      </c>
      <c r="BJ14" s="170">
        <f t="shared" si="9"/>
        <v>35111.71895</v>
      </c>
      <c r="BK14" s="170">
        <f t="shared" si="9"/>
        <v>35345.79708</v>
      </c>
      <c r="BL14" s="170">
        <f t="shared" si="9"/>
        <v>35581.43572</v>
      </c>
      <c r="BM14" s="170">
        <f t="shared" si="9"/>
        <v>35818.64529</v>
      </c>
      <c r="BN14" s="170">
        <f t="shared" si="9"/>
        <v>36057.43626</v>
      </c>
      <c r="BO14" s="170">
        <f t="shared" si="9"/>
        <v>36297.81917</v>
      </c>
      <c r="BP14" s="170">
        <f t="shared" si="9"/>
        <v>36539.80463</v>
      </c>
      <c r="BQ14" s="170">
        <f t="shared" si="9"/>
        <v>36783.40333</v>
      </c>
      <c r="BR14" s="170">
        <f t="shared" si="9"/>
        <v>37028.62602</v>
      </c>
    </row>
    <row r="15" ht="14.25" customHeight="1">
      <c r="A15" s="170"/>
      <c r="B15" s="188" t="s">
        <v>160</v>
      </c>
      <c r="C15" s="189"/>
      <c r="D15" s="189"/>
      <c r="E15" s="190">
        <f t="shared" ref="E15:I15" si="10">IFERROR(E14/E6,0)</f>
        <v>0.61</v>
      </c>
      <c r="F15" s="190">
        <f t="shared" si="10"/>
        <v>0.61</v>
      </c>
      <c r="G15" s="190">
        <f t="shared" si="10"/>
        <v>0.61</v>
      </c>
      <c r="H15" s="190">
        <f t="shared" si="10"/>
        <v>0.61</v>
      </c>
      <c r="I15" s="190">
        <f t="shared" si="10"/>
        <v>0.61</v>
      </c>
      <c r="J15" s="190"/>
      <c r="K15" s="190">
        <f t="shared" ref="K15:BR15" si="11">IFERROR(K14/K6,0)</f>
        <v>0.61</v>
      </c>
      <c r="L15" s="190">
        <f t="shared" si="11"/>
        <v>0.61</v>
      </c>
      <c r="M15" s="190">
        <f t="shared" si="11"/>
        <v>0.61</v>
      </c>
      <c r="N15" s="190">
        <f t="shared" si="11"/>
        <v>0.61</v>
      </c>
      <c r="O15" s="190">
        <f t="shared" si="11"/>
        <v>0.61</v>
      </c>
      <c r="P15" s="190">
        <f t="shared" si="11"/>
        <v>0.61</v>
      </c>
      <c r="Q15" s="190">
        <f t="shared" si="11"/>
        <v>0.61</v>
      </c>
      <c r="R15" s="190">
        <f t="shared" si="11"/>
        <v>0.61</v>
      </c>
      <c r="S15" s="190">
        <f t="shared" si="11"/>
        <v>0.61</v>
      </c>
      <c r="T15" s="190">
        <f t="shared" si="11"/>
        <v>0.61</v>
      </c>
      <c r="U15" s="190">
        <f t="shared" si="11"/>
        <v>0.61</v>
      </c>
      <c r="V15" s="190">
        <f t="shared" si="11"/>
        <v>0.61</v>
      </c>
      <c r="W15" s="190">
        <f t="shared" si="11"/>
        <v>0.61</v>
      </c>
      <c r="X15" s="190">
        <f t="shared" si="11"/>
        <v>0.61</v>
      </c>
      <c r="Y15" s="190">
        <f t="shared" si="11"/>
        <v>0.61</v>
      </c>
      <c r="Z15" s="190">
        <f t="shared" si="11"/>
        <v>0.61</v>
      </c>
      <c r="AA15" s="190">
        <f t="shared" si="11"/>
        <v>0.61</v>
      </c>
      <c r="AB15" s="190">
        <f t="shared" si="11"/>
        <v>0.61</v>
      </c>
      <c r="AC15" s="190">
        <f t="shared" si="11"/>
        <v>0.61</v>
      </c>
      <c r="AD15" s="190">
        <f t="shared" si="11"/>
        <v>0.61</v>
      </c>
      <c r="AE15" s="190">
        <f t="shared" si="11"/>
        <v>0.61</v>
      </c>
      <c r="AF15" s="190">
        <f t="shared" si="11"/>
        <v>0.61</v>
      </c>
      <c r="AG15" s="190">
        <f t="shared" si="11"/>
        <v>0.61</v>
      </c>
      <c r="AH15" s="190">
        <f t="shared" si="11"/>
        <v>0.61</v>
      </c>
      <c r="AI15" s="190">
        <f t="shared" si="11"/>
        <v>0.61</v>
      </c>
      <c r="AJ15" s="190">
        <f t="shared" si="11"/>
        <v>0.61</v>
      </c>
      <c r="AK15" s="190">
        <f t="shared" si="11"/>
        <v>0.61</v>
      </c>
      <c r="AL15" s="190">
        <f t="shared" si="11"/>
        <v>0.61</v>
      </c>
      <c r="AM15" s="190">
        <f t="shared" si="11"/>
        <v>0.61</v>
      </c>
      <c r="AN15" s="190">
        <f t="shared" si="11"/>
        <v>0.61</v>
      </c>
      <c r="AO15" s="190">
        <f t="shared" si="11"/>
        <v>0.61</v>
      </c>
      <c r="AP15" s="190">
        <f t="shared" si="11"/>
        <v>0.61</v>
      </c>
      <c r="AQ15" s="190">
        <f t="shared" si="11"/>
        <v>0.61</v>
      </c>
      <c r="AR15" s="190">
        <f t="shared" si="11"/>
        <v>0.61</v>
      </c>
      <c r="AS15" s="190">
        <f t="shared" si="11"/>
        <v>0.61</v>
      </c>
      <c r="AT15" s="190">
        <f t="shared" si="11"/>
        <v>0.61</v>
      </c>
      <c r="AU15" s="190">
        <f t="shared" si="11"/>
        <v>0.61</v>
      </c>
      <c r="AV15" s="190">
        <f t="shared" si="11"/>
        <v>0.61</v>
      </c>
      <c r="AW15" s="190">
        <f t="shared" si="11"/>
        <v>0.61</v>
      </c>
      <c r="AX15" s="190">
        <f t="shared" si="11"/>
        <v>0.61</v>
      </c>
      <c r="AY15" s="190">
        <f t="shared" si="11"/>
        <v>0.61</v>
      </c>
      <c r="AZ15" s="190">
        <f t="shared" si="11"/>
        <v>0.61</v>
      </c>
      <c r="BA15" s="190">
        <f t="shared" si="11"/>
        <v>0.61</v>
      </c>
      <c r="BB15" s="190">
        <f t="shared" si="11"/>
        <v>0.61</v>
      </c>
      <c r="BC15" s="190">
        <f t="shared" si="11"/>
        <v>0.61</v>
      </c>
      <c r="BD15" s="190">
        <f t="shared" si="11"/>
        <v>0.61</v>
      </c>
      <c r="BE15" s="190">
        <f t="shared" si="11"/>
        <v>0.61</v>
      </c>
      <c r="BF15" s="190">
        <f t="shared" si="11"/>
        <v>0.61</v>
      </c>
      <c r="BG15" s="190">
        <f t="shared" si="11"/>
        <v>0.61</v>
      </c>
      <c r="BH15" s="190">
        <f t="shared" si="11"/>
        <v>0.61</v>
      </c>
      <c r="BI15" s="190">
        <f t="shared" si="11"/>
        <v>0.61</v>
      </c>
      <c r="BJ15" s="190">
        <f t="shared" si="11"/>
        <v>0.61</v>
      </c>
      <c r="BK15" s="190">
        <f t="shared" si="11"/>
        <v>0.61</v>
      </c>
      <c r="BL15" s="190">
        <f t="shared" si="11"/>
        <v>0.61</v>
      </c>
      <c r="BM15" s="190">
        <f t="shared" si="11"/>
        <v>0.61</v>
      </c>
      <c r="BN15" s="190">
        <f t="shared" si="11"/>
        <v>0.61</v>
      </c>
      <c r="BO15" s="190">
        <f t="shared" si="11"/>
        <v>0.61</v>
      </c>
      <c r="BP15" s="190">
        <f t="shared" si="11"/>
        <v>0.61</v>
      </c>
      <c r="BQ15" s="190">
        <f t="shared" si="11"/>
        <v>0.61</v>
      </c>
      <c r="BR15" s="190">
        <f t="shared" si="11"/>
        <v>0.61</v>
      </c>
    </row>
    <row r="16" ht="14.25" customHeight="1">
      <c r="A16" s="170"/>
      <c r="B16" s="191"/>
      <c r="E16" s="192"/>
      <c r="F16" s="192"/>
      <c r="G16" s="192"/>
      <c r="H16" s="192"/>
      <c r="I16" s="192"/>
      <c r="J16" s="192"/>
    </row>
    <row r="17" ht="14.25" customHeight="1">
      <c r="A17" s="170"/>
      <c r="B17" s="174" t="s">
        <v>111</v>
      </c>
      <c r="C17" s="175"/>
      <c r="D17" s="175"/>
      <c r="E17" s="193">
        <f t="shared" ref="E17:I17" si="12">SUMIFS($K17:$BR17,$K$1:$BR$1,E$1)</f>
        <v>43440.40819</v>
      </c>
      <c r="F17" s="193">
        <f t="shared" si="12"/>
        <v>76732.42842</v>
      </c>
      <c r="G17" s="193">
        <f t="shared" si="12"/>
        <v>89038.79314</v>
      </c>
      <c r="H17" s="193">
        <f t="shared" si="12"/>
        <v>97295.9948</v>
      </c>
      <c r="I17" s="193">
        <f t="shared" si="12"/>
        <v>105371.5144</v>
      </c>
      <c r="J17" s="193"/>
      <c r="K17" s="170">
        <f>-Model!K42</f>
        <v>1976.2275</v>
      </c>
      <c r="L17" s="170">
        <f>-Model!L42</f>
        <v>2488.582778</v>
      </c>
      <c r="M17" s="170">
        <f>-Model!M42</f>
        <v>2744.760417</v>
      </c>
      <c r="N17" s="170">
        <f>-Model!N42</f>
        <v>3000.938056</v>
      </c>
      <c r="O17" s="170">
        <f>-Model!O42</f>
        <v>3257.115694</v>
      </c>
      <c r="P17" s="170">
        <f>-Model!P42</f>
        <v>3513.293333</v>
      </c>
      <c r="Q17" s="170">
        <f>-Model!Q42</f>
        <v>3769.470972</v>
      </c>
      <c r="R17" s="170">
        <f>-Model!R42</f>
        <v>4025.648611</v>
      </c>
      <c r="S17" s="170">
        <f>-Model!S42</f>
        <v>4281.82625</v>
      </c>
      <c r="T17" s="170">
        <f>-Model!T42</f>
        <v>4538.003889</v>
      </c>
      <c r="U17" s="170">
        <f>-Model!U42</f>
        <v>4794.181528</v>
      </c>
      <c r="V17" s="170">
        <f>-Model!V42</f>
        <v>5050.359167</v>
      </c>
      <c r="W17" s="170">
        <f>-Model!W42</f>
        <v>5306.536806</v>
      </c>
      <c r="X17" s="170">
        <f>-Model!X42</f>
        <v>5562.714444</v>
      </c>
      <c r="Y17" s="170">
        <f>-Model!Y42</f>
        <v>5818.892083</v>
      </c>
      <c r="Z17" s="170">
        <f>-Model!Z42</f>
        <v>6075.069722</v>
      </c>
      <c r="AA17" s="170">
        <f>-Model!AA42</f>
        <v>6331.247361</v>
      </c>
      <c r="AB17" s="170">
        <f>-Model!AB42</f>
        <v>6587.425</v>
      </c>
      <c r="AC17" s="170">
        <f>-Model!AC42</f>
        <v>6658.788771</v>
      </c>
      <c r="AD17" s="170">
        <f>-Model!AD42</f>
        <v>6730.925649</v>
      </c>
      <c r="AE17" s="170">
        <f>-Model!AE42</f>
        <v>6803.84401</v>
      </c>
      <c r="AF17" s="170">
        <f>-Model!AF42</f>
        <v>6877.55232</v>
      </c>
      <c r="AG17" s="170">
        <f>-Model!AG42</f>
        <v>6952.059137</v>
      </c>
      <c r="AH17" s="170">
        <f>-Model!AH42</f>
        <v>7027.373111</v>
      </c>
      <c r="AI17" s="170">
        <f>-Model!AI42</f>
        <v>7085.934554</v>
      </c>
      <c r="AJ17" s="170">
        <f>-Model!AJ42</f>
        <v>7144.984008</v>
      </c>
      <c r="AK17" s="170">
        <f>-Model!AK42</f>
        <v>7204.525542</v>
      </c>
      <c r="AL17" s="170">
        <f>-Model!AL42</f>
        <v>7264.563255</v>
      </c>
      <c r="AM17" s="170">
        <f>-Model!AM42</f>
        <v>7325.101282</v>
      </c>
      <c r="AN17" s="170">
        <f>-Model!AN42</f>
        <v>7386.143793</v>
      </c>
      <c r="AO17" s="170">
        <f>-Model!AO42</f>
        <v>7447.694991</v>
      </c>
      <c r="AP17" s="170">
        <f>-Model!AP42</f>
        <v>7509.759116</v>
      </c>
      <c r="AQ17" s="170">
        <f>-Model!AQ42</f>
        <v>7572.340442</v>
      </c>
      <c r="AR17" s="170">
        <f>-Model!AR42</f>
        <v>7635.443279</v>
      </c>
      <c r="AS17" s="170">
        <f>-Model!AS42</f>
        <v>7699.071973</v>
      </c>
      <c r="AT17" s="170">
        <f>-Model!AT42</f>
        <v>7763.230906</v>
      </c>
      <c r="AU17" s="170">
        <f>-Model!AU42</f>
        <v>7814.985779</v>
      </c>
      <c r="AV17" s="170">
        <f>-Model!AV42</f>
        <v>7867.085684</v>
      </c>
      <c r="AW17" s="170">
        <f>-Model!AW42</f>
        <v>7919.532922</v>
      </c>
      <c r="AX17" s="170">
        <f>-Model!AX42</f>
        <v>7972.329808</v>
      </c>
      <c r="AY17" s="170">
        <f>-Model!AY42</f>
        <v>8025.478673</v>
      </c>
      <c r="AZ17" s="170">
        <f>-Model!AZ42</f>
        <v>8078.981864</v>
      </c>
      <c r="BA17" s="170">
        <f>-Model!BA42</f>
        <v>8132.841743</v>
      </c>
      <c r="BB17" s="170">
        <f>-Model!BB42</f>
        <v>8187.060688</v>
      </c>
      <c r="BC17" s="170">
        <f>-Model!BC42</f>
        <v>8241.641093</v>
      </c>
      <c r="BD17" s="170">
        <f>-Model!BD42</f>
        <v>8296.585367</v>
      </c>
      <c r="BE17" s="170">
        <f>-Model!BE42</f>
        <v>8351.895936</v>
      </c>
      <c r="BF17" s="170">
        <f>-Model!BF42</f>
        <v>8407.575242</v>
      </c>
      <c r="BG17" s="170">
        <f>-Model!BG42</f>
        <v>8463.625744</v>
      </c>
      <c r="BH17" s="170">
        <f>-Model!BH42</f>
        <v>8520.049915</v>
      </c>
      <c r="BI17" s="170">
        <f>-Model!BI42</f>
        <v>8576.850248</v>
      </c>
      <c r="BJ17" s="170">
        <f>-Model!BJ42</f>
        <v>8634.02925</v>
      </c>
      <c r="BK17" s="170">
        <f>-Model!BK42</f>
        <v>8691.589445</v>
      </c>
      <c r="BL17" s="170">
        <f>-Model!BL42</f>
        <v>8749.533375</v>
      </c>
      <c r="BM17" s="170">
        <f>-Model!BM42</f>
        <v>8807.863597</v>
      </c>
      <c r="BN17" s="170">
        <f>-Model!BN42</f>
        <v>8866.582688</v>
      </c>
      <c r="BO17" s="170">
        <f>-Model!BO42</f>
        <v>8925.693239</v>
      </c>
      <c r="BP17" s="170">
        <f>-Model!BP42</f>
        <v>8985.197861</v>
      </c>
      <c r="BQ17" s="170">
        <f>-Model!BQ42</f>
        <v>9045.09918</v>
      </c>
      <c r="BR17" s="170">
        <f>-Model!BR42</f>
        <v>9105.399841</v>
      </c>
    </row>
    <row r="18" ht="14.25" customHeight="1">
      <c r="A18" s="170"/>
      <c r="B18" s="171" t="s">
        <v>121</v>
      </c>
      <c r="C18" s="172"/>
      <c r="D18" s="172"/>
      <c r="E18" s="194">
        <f t="shared" ref="E18:I18" si="13">IFERROR(E14/E17,"")</f>
        <v>4.066666667</v>
      </c>
      <c r="F18" s="194">
        <f t="shared" si="13"/>
        <v>4.066666667</v>
      </c>
      <c r="G18" s="194">
        <f t="shared" si="13"/>
        <v>4.066666667</v>
      </c>
      <c r="H18" s="194">
        <f t="shared" si="13"/>
        <v>4.066666667</v>
      </c>
      <c r="I18" s="194">
        <f t="shared" si="13"/>
        <v>4.066666667</v>
      </c>
      <c r="J18" s="194"/>
      <c r="K18" s="194">
        <f t="shared" ref="K18:BR18" si="14">IFERROR(K14/K17,"")</f>
        <v>4.066666667</v>
      </c>
      <c r="L18" s="194">
        <f t="shared" si="14"/>
        <v>4.066666667</v>
      </c>
      <c r="M18" s="194">
        <f t="shared" si="14"/>
        <v>4.066666667</v>
      </c>
      <c r="N18" s="194">
        <f t="shared" si="14"/>
        <v>4.066666667</v>
      </c>
      <c r="O18" s="194">
        <f t="shared" si="14"/>
        <v>4.066666667</v>
      </c>
      <c r="P18" s="194">
        <f t="shared" si="14"/>
        <v>4.066666667</v>
      </c>
      <c r="Q18" s="194">
        <f t="shared" si="14"/>
        <v>4.066666667</v>
      </c>
      <c r="R18" s="194">
        <f t="shared" si="14"/>
        <v>4.066666667</v>
      </c>
      <c r="S18" s="194">
        <f t="shared" si="14"/>
        <v>4.066666667</v>
      </c>
      <c r="T18" s="194">
        <f t="shared" si="14"/>
        <v>4.066666667</v>
      </c>
      <c r="U18" s="194">
        <f t="shared" si="14"/>
        <v>4.066666667</v>
      </c>
      <c r="V18" s="194">
        <f t="shared" si="14"/>
        <v>4.066666667</v>
      </c>
      <c r="W18" s="194">
        <f t="shared" si="14"/>
        <v>4.066666667</v>
      </c>
      <c r="X18" s="194">
        <f t="shared" si="14"/>
        <v>4.066666667</v>
      </c>
      <c r="Y18" s="194">
        <f t="shared" si="14"/>
        <v>4.066666667</v>
      </c>
      <c r="Z18" s="194">
        <f t="shared" si="14"/>
        <v>4.066666667</v>
      </c>
      <c r="AA18" s="194">
        <f t="shared" si="14"/>
        <v>4.066666667</v>
      </c>
      <c r="AB18" s="194">
        <f t="shared" si="14"/>
        <v>4.066666667</v>
      </c>
      <c r="AC18" s="194">
        <f t="shared" si="14"/>
        <v>4.066666667</v>
      </c>
      <c r="AD18" s="194">
        <f t="shared" si="14"/>
        <v>4.066666667</v>
      </c>
      <c r="AE18" s="194">
        <f t="shared" si="14"/>
        <v>4.066666667</v>
      </c>
      <c r="AF18" s="194">
        <f t="shared" si="14"/>
        <v>4.066666667</v>
      </c>
      <c r="AG18" s="194">
        <f t="shared" si="14"/>
        <v>4.066666667</v>
      </c>
      <c r="AH18" s="194">
        <f t="shared" si="14"/>
        <v>4.066666667</v>
      </c>
      <c r="AI18" s="194">
        <f t="shared" si="14"/>
        <v>4.066666667</v>
      </c>
      <c r="AJ18" s="194">
        <f t="shared" si="14"/>
        <v>4.066666667</v>
      </c>
      <c r="AK18" s="194">
        <f t="shared" si="14"/>
        <v>4.066666667</v>
      </c>
      <c r="AL18" s="194">
        <f t="shared" si="14"/>
        <v>4.066666667</v>
      </c>
      <c r="AM18" s="194">
        <f t="shared" si="14"/>
        <v>4.066666667</v>
      </c>
      <c r="AN18" s="194">
        <f t="shared" si="14"/>
        <v>4.066666667</v>
      </c>
      <c r="AO18" s="194">
        <f t="shared" si="14"/>
        <v>4.066666667</v>
      </c>
      <c r="AP18" s="194">
        <f t="shared" si="14"/>
        <v>4.066666667</v>
      </c>
      <c r="AQ18" s="194">
        <f t="shared" si="14"/>
        <v>4.066666667</v>
      </c>
      <c r="AR18" s="194">
        <f t="shared" si="14"/>
        <v>4.066666667</v>
      </c>
      <c r="AS18" s="194">
        <f t="shared" si="14"/>
        <v>4.066666667</v>
      </c>
      <c r="AT18" s="194">
        <f t="shared" si="14"/>
        <v>4.066666667</v>
      </c>
      <c r="AU18" s="194">
        <f t="shared" si="14"/>
        <v>4.066666667</v>
      </c>
      <c r="AV18" s="194">
        <f t="shared" si="14"/>
        <v>4.066666667</v>
      </c>
      <c r="AW18" s="194">
        <f t="shared" si="14"/>
        <v>4.066666667</v>
      </c>
      <c r="AX18" s="194">
        <f t="shared" si="14"/>
        <v>4.066666667</v>
      </c>
      <c r="AY18" s="194">
        <f t="shared" si="14"/>
        <v>4.066666667</v>
      </c>
      <c r="AZ18" s="194">
        <f t="shared" si="14"/>
        <v>4.066666667</v>
      </c>
      <c r="BA18" s="194">
        <f t="shared" si="14"/>
        <v>4.066666667</v>
      </c>
      <c r="BB18" s="194">
        <f t="shared" si="14"/>
        <v>4.066666667</v>
      </c>
      <c r="BC18" s="194">
        <f t="shared" si="14"/>
        <v>4.066666667</v>
      </c>
      <c r="BD18" s="194">
        <f t="shared" si="14"/>
        <v>4.066666667</v>
      </c>
      <c r="BE18" s="194">
        <f t="shared" si="14"/>
        <v>4.066666667</v>
      </c>
      <c r="BF18" s="194">
        <f t="shared" si="14"/>
        <v>4.066666667</v>
      </c>
      <c r="BG18" s="194">
        <f t="shared" si="14"/>
        <v>4.066666667</v>
      </c>
      <c r="BH18" s="194">
        <f t="shared" si="14"/>
        <v>4.066666667</v>
      </c>
      <c r="BI18" s="194">
        <f t="shared" si="14"/>
        <v>4.066666667</v>
      </c>
      <c r="BJ18" s="194">
        <f t="shared" si="14"/>
        <v>4.066666667</v>
      </c>
      <c r="BK18" s="194">
        <f t="shared" si="14"/>
        <v>4.066666667</v>
      </c>
      <c r="BL18" s="194">
        <f t="shared" si="14"/>
        <v>4.066666667</v>
      </c>
      <c r="BM18" s="194">
        <f t="shared" si="14"/>
        <v>4.066666667</v>
      </c>
      <c r="BN18" s="194">
        <f t="shared" si="14"/>
        <v>4.066666667</v>
      </c>
      <c r="BO18" s="194">
        <f t="shared" si="14"/>
        <v>4.066666667</v>
      </c>
      <c r="BP18" s="194">
        <f t="shared" si="14"/>
        <v>4.066666667</v>
      </c>
      <c r="BQ18" s="194">
        <f t="shared" si="14"/>
        <v>4.066666667</v>
      </c>
      <c r="BR18" s="194">
        <f t="shared" si="14"/>
        <v>4.066666667</v>
      </c>
    </row>
    <row r="19" ht="14.25" customHeight="1">
      <c r="A19" s="170"/>
      <c r="B19" s="191"/>
      <c r="E19" s="192"/>
      <c r="F19" s="192"/>
      <c r="G19" s="192"/>
      <c r="H19" s="192"/>
      <c r="I19" s="192"/>
      <c r="J19" s="192"/>
    </row>
    <row r="20" ht="14.25" customHeight="1">
      <c r="A20" s="170"/>
      <c r="B20" s="186" t="s">
        <v>161</v>
      </c>
      <c r="C20" s="187"/>
      <c r="D20" s="187"/>
      <c r="E20" s="193">
        <f t="shared" ref="E20:I20" si="15">E14-E17</f>
        <v>133217.2518</v>
      </c>
      <c r="F20" s="193">
        <f t="shared" si="15"/>
        <v>235312.7805</v>
      </c>
      <c r="G20" s="193">
        <f t="shared" si="15"/>
        <v>273052.299</v>
      </c>
      <c r="H20" s="193">
        <f t="shared" si="15"/>
        <v>298374.384</v>
      </c>
      <c r="I20" s="193">
        <f t="shared" si="15"/>
        <v>323139.3108</v>
      </c>
      <c r="J20" s="193"/>
      <c r="K20" s="170">
        <f t="shared" ref="K20:BR20" si="16">K14-K17</f>
        <v>6060.431</v>
      </c>
      <c r="L20" s="170">
        <f t="shared" si="16"/>
        <v>7631.653852</v>
      </c>
      <c r="M20" s="170">
        <f t="shared" si="16"/>
        <v>8417.265278</v>
      </c>
      <c r="N20" s="170">
        <f t="shared" si="16"/>
        <v>9202.876704</v>
      </c>
      <c r="O20" s="170">
        <f t="shared" si="16"/>
        <v>9988.48813</v>
      </c>
      <c r="P20" s="170">
        <f t="shared" si="16"/>
        <v>10774.09956</v>
      </c>
      <c r="Q20" s="170">
        <f t="shared" si="16"/>
        <v>11559.71098</v>
      </c>
      <c r="R20" s="170">
        <f t="shared" si="16"/>
        <v>12345.32241</v>
      </c>
      <c r="S20" s="170">
        <f t="shared" si="16"/>
        <v>13130.93383</v>
      </c>
      <c r="T20" s="170">
        <f t="shared" si="16"/>
        <v>13916.54526</v>
      </c>
      <c r="U20" s="170">
        <f t="shared" si="16"/>
        <v>14702.15669</v>
      </c>
      <c r="V20" s="170">
        <f t="shared" si="16"/>
        <v>15487.76811</v>
      </c>
      <c r="W20" s="170">
        <f t="shared" si="16"/>
        <v>16273.37954</v>
      </c>
      <c r="X20" s="170">
        <f t="shared" si="16"/>
        <v>17058.99096</v>
      </c>
      <c r="Y20" s="170">
        <f t="shared" si="16"/>
        <v>17844.60239</v>
      </c>
      <c r="Z20" s="170">
        <f t="shared" si="16"/>
        <v>18630.21381</v>
      </c>
      <c r="AA20" s="170">
        <f t="shared" si="16"/>
        <v>19415.82524</v>
      </c>
      <c r="AB20" s="170">
        <f t="shared" si="16"/>
        <v>20201.43667</v>
      </c>
      <c r="AC20" s="170">
        <f t="shared" si="16"/>
        <v>20420.28556</v>
      </c>
      <c r="AD20" s="170">
        <f t="shared" si="16"/>
        <v>20641.50532</v>
      </c>
      <c r="AE20" s="170">
        <f t="shared" si="16"/>
        <v>20865.12163</v>
      </c>
      <c r="AF20" s="170">
        <f t="shared" si="16"/>
        <v>21091.16045</v>
      </c>
      <c r="AG20" s="170">
        <f t="shared" si="16"/>
        <v>21319.64802</v>
      </c>
      <c r="AH20" s="170">
        <f t="shared" si="16"/>
        <v>21550.61087</v>
      </c>
      <c r="AI20" s="170">
        <f t="shared" si="16"/>
        <v>21730.1993</v>
      </c>
      <c r="AJ20" s="170">
        <f t="shared" si="16"/>
        <v>21911.28429</v>
      </c>
      <c r="AK20" s="170">
        <f t="shared" si="16"/>
        <v>22093.87833</v>
      </c>
      <c r="AL20" s="170">
        <f t="shared" si="16"/>
        <v>22277.99398</v>
      </c>
      <c r="AM20" s="170">
        <f t="shared" si="16"/>
        <v>22463.64393</v>
      </c>
      <c r="AN20" s="170">
        <f t="shared" si="16"/>
        <v>22650.84096</v>
      </c>
      <c r="AO20" s="170">
        <f t="shared" si="16"/>
        <v>22839.59797</v>
      </c>
      <c r="AP20" s="170">
        <f t="shared" si="16"/>
        <v>23029.92795</v>
      </c>
      <c r="AQ20" s="170">
        <f t="shared" si="16"/>
        <v>23221.84402</v>
      </c>
      <c r="AR20" s="170">
        <f t="shared" si="16"/>
        <v>23415.35939</v>
      </c>
      <c r="AS20" s="170">
        <f t="shared" si="16"/>
        <v>23610.48738</v>
      </c>
      <c r="AT20" s="170">
        <f t="shared" si="16"/>
        <v>23807.24144</v>
      </c>
      <c r="AU20" s="170">
        <f t="shared" si="16"/>
        <v>23965.95639</v>
      </c>
      <c r="AV20" s="170">
        <f t="shared" si="16"/>
        <v>24125.72943</v>
      </c>
      <c r="AW20" s="170">
        <f t="shared" si="16"/>
        <v>24286.56763</v>
      </c>
      <c r="AX20" s="170">
        <f t="shared" si="16"/>
        <v>24448.47808</v>
      </c>
      <c r="AY20" s="170">
        <f t="shared" si="16"/>
        <v>24611.46793</v>
      </c>
      <c r="AZ20" s="170">
        <f t="shared" si="16"/>
        <v>24775.54438</v>
      </c>
      <c r="BA20" s="170">
        <f t="shared" si="16"/>
        <v>24940.71468</v>
      </c>
      <c r="BB20" s="170">
        <f t="shared" si="16"/>
        <v>25106.98611</v>
      </c>
      <c r="BC20" s="170">
        <f t="shared" si="16"/>
        <v>25274.36602</v>
      </c>
      <c r="BD20" s="170">
        <f t="shared" si="16"/>
        <v>25442.86179</v>
      </c>
      <c r="BE20" s="170">
        <f t="shared" si="16"/>
        <v>25612.48087</v>
      </c>
      <c r="BF20" s="170">
        <f t="shared" si="16"/>
        <v>25783.23074</v>
      </c>
      <c r="BG20" s="170">
        <f t="shared" si="16"/>
        <v>25955.11895</v>
      </c>
      <c r="BH20" s="170">
        <f t="shared" si="16"/>
        <v>26128.15307</v>
      </c>
      <c r="BI20" s="170">
        <f t="shared" si="16"/>
        <v>26302.34076</v>
      </c>
      <c r="BJ20" s="170">
        <f t="shared" si="16"/>
        <v>26477.6897</v>
      </c>
      <c r="BK20" s="170">
        <f t="shared" si="16"/>
        <v>26654.20763</v>
      </c>
      <c r="BL20" s="170">
        <f t="shared" si="16"/>
        <v>26831.90235</v>
      </c>
      <c r="BM20" s="170">
        <f t="shared" si="16"/>
        <v>27010.7817</v>
      </c>
      <c r="BN20" s="170">
        <f t="shared" si="16"/>
        <v>27190.85358</v>
      </c>
      <c r="BO20" s="170">
        <f t="shared" si="16"/>
        <v>27372.12593</v>
      </c>
      <c r="BP20" s="170">
        <f t="shared" si="16"/>
        <v>27554.60677</v>
      </c>
      <c r="BQ20" s="170">
        <f t="shared" si="16"/>
        <v>27738.30415</v>
      </c>
      <c r="BR20" s="170">
        <f t="shared" si="16"/>
        <v>27923.22618</v>
      </c>
    </row>
    <row r="21" ht="14.25" customHeight="1">
      <c r="A21" s="170"/>
      <c r="B21" s="188" t="s">
        <v>162</v>
      </c>
      <c r="C21" s="189"/>
      <c r="D21" s="189"/>
      <c r="E21" s="173">
        <f t="shared" ref="E21:I21" si="17">IFERROR(E20/E14,"")</f>
        <v>0.7540983607</v>
      </c>
      <c r="F21" s="173">
        <f t="shared" si="17"/>
        <v>0.7540983607</v>
      </c>
      <c r="G21" s="173">
        <f t="shared" si="17"/>
        <v>0.7540983607</v>
      </c>
      <c r="H21" s="173">
        <f t="shared" si="17"/>
        <v>0.7540983607</v>
      </c>
      <c r="I21" s="173">
        <f t="shared" si="17"/>
        <v>0.7540983607</v>
      </c>
      <c r="J21" s="173"/>
      <c r="K21" s="173">
        <f t="shared" ref="K21:BR21" si="18">IFERROR(K20/K14,"")</f>
        <v>0.7540983607</v>
      </c>
      <c r="L21" s="173">
        <f t="shared" si="18"/>
        <v>0.7540983607</v>
      </c>
      <c r="M21" s="173">
        <f t="shared" si="18"/>
        <v>0.7540983607</v>
      </c>
      <c r="N21" s="173">
        <f t="shared" si="18"/>
        <v>0.7540983607</v>
      </c>
      <c r="O21" s="173">
        <f t="shared" si="18"/>
        <v>0.7540983607</v>
      </c>
      <c r="P21" s="173">
        <f t="shared" si="18"/>
        <v>0.7540983607</v>
      </c>
      <c r="Q21" s="173">
        <f t="shared" si="18"/>
        <v>0.7540983607</v>
      </c>
      <c r="R21" s="173">
        <f t="shared" si="18"/>
        <v>0.7540983607</v>
      </c>
      <c r="S21" s="173">
        <f t="shared" si="18"/>
        <v>0.7540983607</v>
      </c>
      <c r="T21" s="173">
        <f t="shared" si="18"/>
        <v>0.7540983607</v>
      </c>
      <c r="U21" s="173">
        <f t="shared" si="18"/>
        <v>0.7540983607</v>
      </c>
      <c r="V21" s="173">
        <f t="shared" si="18"/>
        <v>0.7540983607</v>
      </c>
      <c r="W21" s="173">
        <f t="shared" si="18"/>
        <v>0.7540983607</v>
      </c>
      <c r="X21" s="173">
        <f t="shared" si="18"/>
        <v>0.7540983607</v>
      </c>
      <c r="Y21" s="173">
        <f t="shared" si="18"/>
        <v>0.7540983607</v>
      </c>
      <c r="Z21" s="173">
        <f t="shared" si="18"/>
        <v>0.7540983607</v>
      </c>
      <c r="AA21" s="173">
        <f t="shared" si="18"/>
        <v>0.7540983607</v>
      </c>
      <c r="AB21" s="173">
        <f t="shared" si="18"/>
        <v>0.7540983607</v>
      </c>
      <c r="AC21" s="173">
        <f t="shared" si="18"/>
        <v>0.7540983607</v>
      </c>
      <c r="AD21" s="173">
        <f t="shared" si="18"/>
        <v>0.7540983607</v>
      </c>
      <c r="AE21" s="173">
        <f t="shared" si="18"/>
        <v>0.7540983607</v>
      </c>
      <c r="AF21" s="173">
        <f t="shared" si="18"/>
        <v>0.7540983607</v>
      </c>
      <c r="AG21" s="173">
        <f t="shared" si="18"/>
        <v>0.7540983607</v>
      </c>
      <c r="AH21" s="173">
        <f t="shared" si="18"/>
        <v>0.7540983607</v>
      </c>
      <c r="AI21" s="173">
        <f t="shared" si="18"/>
        <v>0.7540983607</v>
      </c>
      <c r="AJ21" s="173">
        <f t="shared" si="18"/>
        <v>0.7540983607</v>
      </c>
      <c r="AK21" s="173">
        <f t="shared" si="18"/>
        <v>0.7540983607</v>
      </c>
      <c r="AL21" s="173">
        <f t="shared" si="18"/>
        <v>0.7540983607</v>
      </c>
      <c r="AM21" s="173">
        <f t="shared" si="18"/>
        <v>0.7540983607</v>
      </c>
      <c r="AN21" s="173">
        <f t="shared" si="18"/>
        <v>0.7540983607</v>
      </c>
      <c r="AO21" s="173">
        <f t="shared" si="18"/>
        <v>0.7540983607</v>
      </c>
      <c r="AP21" s="173">
        <f t="shared" si="18"/>
        <v>0.7540983607</v>
      </c>
      <c r="AQ21" s="173">
        <f t="shared" si="18"/>
        <v>0.7540983607</v>
      </c>
      <c r="AR21" s="173">
        <f t="shared" si="18"/>
        <v>0.7540983607</v>
      </c>
      <c r="AS21" s="173">
        <f t="shared" si="18"/>
        <v>0.7540983607</v>
      </c>
      <c r="AT21" s="173">
        <f t="shared" si="18"/>
        <v>0.7540983607</v>
      </c>
      <c r="AU21" s="173">
        <f t="shared" si="18"/>
        <v>0.7540983607</v>
      </c>
      <c r="AV21" s="173">
        <f t="shared" si="18"/>
        <v>0.7540983607</v>
      </c>
      <c r="AW21" s="173">
        <f t="shared" si="18"/>
        <v>0.7540983607</v>
      </c>
      <c r="AX21" s="173">
        <f t="shared" si="18"/>
        <v>0.7540983607</v>
      </c>
      <c r="AY21" s="173">
        <f t="shared" si="18"/>
        <v>0.7540983607</v>
      </c>
      <c r="AZ21" s="173">
        <f t="shared" si="18"/>
        <v>0.7540983607</v>
      </c>
      <c r="BA21" s="173">
        <f t="shared" si="18"/>
        <v>0.7540983607</v>
      </c>
      <c r="BB21" s="173">
        <f t="shared" si="18"/>
        <v>0.7540983607</v>
      </c>
      <c r="BC21" s="173">
        <f t="shared" si="18"/>
        <v>0.7540983607</v>
      </c>
      <c r="BD21" s="173">
        <f t="shared" si="18"/>
        <v>0.7540983607</v>
      </c>
      <c r="BE21" s="173">
        <f t="shared" si="18"/>
        <v>0.7540983607</v>
      </c>
      <c r="BF21" s="173">
        <f t="shared" si="18"/>
        <v>0.7540983607</v>
      </c>
      <c r="BG21" s="173">
        <f t="shared" si="18"/>
        <v>0.7540983607</v>
      </c>
      <c r="BH21" s="173">
        <f t="shared" si="18"/>
        <v>0.7540983607</v>
      </c>
      <c r="BI21" s="173">
        <f t="shared" si="18"/>
        <v>0.7540983607</v>
      </c>
      <c r="BJ21" s="173">
        <f t="shared" si="18"/>
        <v>0.7540983607</v>
      </c>
      <c r="BK21" s="173">
        <f t="shared" si="18"/>
        <v>0.7540983607</v>
      </c>
      <c r="BL21" s="173">
        <f t="shared" si="18"/>
        <v>0.7540983607</v>
      </c>
      <c r="BM21" s="173">
        <f t="shared" si="18"/>
        <v>0.7540983607</v>
      </c>
      <c r="BN21" s="173">
        <f t="shared" si="18"/>
        <v>0.7540983607</v>
      </c>
      <c r="BO21" s="173">
        <f t="shared" si="18"/>
        <v>0.7540983607</v>
      </c>
      <c r="BP21" s="173">
        <f t="shared" si="18"/>
        <v>0.7540983607</v>
      </c>
      <c r="BQ21" s="173">
        <f t="shared" si="18"/>
        <v>0.7540983607</v>
      </c>
      <c r="BR21" s="173">
        <f t="shared" si="18"/>
        <v>0.7540983607</v>
      </c>
    </row>
    <row r="22" ht="14.25" customHeight="1">
      <c r="A22" s="170"/>
      <c r="B22" s="191"/>
      <c r="E22" s="192"/>
      <c r="F22" s="192"/>
      <c r="G22" s="192"/>
      <c r="H22" s="192"/>
      <c r="I22" s="192"/>
      <c r="J22" s="192"/>
    </row>
    <row r="23" ht="14.25" customHeight="1">
      <c r="A23" s="170"/>
      <c r="B23" s="195" t="s">
        <v>163</v>
      </c>
      <c r="C23" s="2"/>
      <c r="D23" s="2"/>
      <c r="E23" s="192"/>
      <c r="F23" s="192"/>
      <c r="G23" s="192"/>
      <c r="H23" s="192"/>
      <c r="I23" s="192"/>
      <c r="J23" s="192"/>
    </row>
    <row r="24" ht="14.25" customHeight="1">
      <c r="A24" s="170"/>
      <c r="B24" s="178" t="s">
        <v>164</v>
      </c>
      <c r="C24" s="179"/>
      <c r="D24" s="179"/>
      <c r="E24" s="170">
        <f t="shared" ref="E24:I24" si="19">SUMIFS($K24:$BR24,$K$1:$BR$1,E$1)</f>
        <v>40000</v>
      </c>
      <c r="F24" s="170">
        <f t="shared" si="19"/>
        <v>41200</v>
      </c>
      <c r="G24" s="170">
        <f t="shared" si="19"/>
        <v>42436</v>
      </c>
      <c r="H24" s="170">
        <f t="shared" si="19"/>
        <v>43709.08</v>
      </c>
      <c r="I24" s="170">
        <f t="shared" si="19"/>
        <v>45020.3524</v>
      </c>
      <c r="J24" s="170"/>
      <c r="K24" s="170">
        <f>-Model!K54</f>
        <v>3333.333333</v>
      </c>
      <c r="L24" s="170">
        <f>-Model!L54</f>
        <v>3333.333333</v>
      </c>
      <c r="M24" s="170">
        <f>-Model!M54</f>
        <v>3333.333333</v>
      </c>
      <c r="N24" s="170">
        <f>-Model!N54</f>
        <v>3333.333333</v>
      </c>
      <c r="O24" s="170">
        <f>-Model!O54</f>
        <v>3333.333333</v>
      </c>
      <c r="P24" s="170">
        <f>-Model!P54</f>
        <v>3333.333333</v>
      </c>
      <c r="Q24" s="170">
        <f>-Model!Q54</f>
        <v>3333.333333</v>
      </c>
      <c r="R24" s="170">
        <f>-Model!R54</f>
        <v>3333.333333</v>
      </c>
      <c r="S24" s="170">
        <f>-Model!S54</f>
        <v>3333.333333</v>
      </c>
      <c r="T24" s="170">
        <f>-Model!T54</f>
        <v>3333.333333</v>
      </c>
      <c r="U24" s="170">
        <f>-Model!U54</f>
        <v>3333.333333</v>
      </c>
      <c r="V24" s="170">
        <f>-Model!V54</f>
        <v>3333.333333</v>
      </c>
      <c r="W24" s="170">
        <f>-Model!W54</f>
        <v>3433.333333</v>
      </c>
      <c r="X24" s="170">
        <f>-Model!X54</f>
        <v>3433.333333</v>
      </c>
      <c r="Y24" s="170">
        <f>-Model!Y54</f>
        <v>3433.333333</v>
      </c>
      <c r="Z24" s="170">
        <f>-Model!Z54</f>
        <v>3433.333333</v>
      </c>
      <c r="AA24" s="170">
        <f>-Model!AA54</f>
        <v>3433.333333</v>
      </c>
      <c r="AB24" s="170">
        <f>-Model!AB54</f>
        <v>3433.333333</v>
      </c>
      <c r="AC24" s="170">
        <f>-Model!AC54</f>
        <v>3433.333333</v>
      </c>
      <c r="AD24" s="170">
        <f>-Model!AD54</f>
        <v>3433.333333</v>
      </c>
      <c r="AE24" s="170">
        <f>-Model!AE54</f>
        <v>3433.333333</v>
      </c>
      <c r="AF24" s="170">
        <f>-Model!AF54</f>
        <v>3433.333333</v>
      </c>
      <c r="AG24" s="170">
        <f>-Model!AG54</f>
        <v>3433.333333</v>
      </c>
      <c r="AH24" s="170">
        <f>-Model!AH54</f>
        <v>3433.333333</v>
      </c>
      <c r="AI24" s="170">
        <f>-Model!AI54</f>
        <v>3536.333333</v>
      </c>
      <c r="AJ24" s="170">
        <f>-Model!AJ54</f>
        <v>3536.333333</v>
      </c>
      <c r="AK24" s="170">
        <f>-Model!AK54</f>
        <v>3536.333333</v>
      </c>
      <c r="AL24" s="170">
        <f>-Model!AL54</f>
        <v>3536.333333</v>
      </c>
      <c r="AM24" s="170">
        <f>-Model!AM54</f>
        <v>3536.333333</v>
      </c>
      <c r="AN24" s="170">
        <f>-Model!AN54</f>
        <v>3536.333333</v>
      </c>
      <c r="AO24" s="170">
        <f>-Model!AO54</f>
        <v>3536.333333</v>
      </c>
      <c r="AP24" s="170">
        <f>-Model!AP54</f>
        <v>3536.333333</v>
      </c>
      <c r="AQ24" s="170">
        <f>-Model!AQ54</f>
        <v>3536.333333</v>
      </c>
      <c r="AR24" s="170">
        <f>-Model!AR54</f>
        <v>3536.333333</v>
      </c>
      <c r="AS24" s="170">
        <f>-Model!AS54</f>
        <v>3536.333333</v>
      </c>
      <c r="AT24" s="170">
        <f>-Model!AT54</f>
        <v>3536.333333</v>
      </c>
      <c r="AU24" s="170">
        <f>-Model!AU54</f>
        <v>3642.423333</v>
      </c>
      <c r="AV24" s="170">
        <f>-Model!AV54</f>
        <v>3642.423333</v>
      </c>
      <c r="AW24" s="170">
        <f>-Model!AW54</f>
        <v>3642.423333</v>
      </c>
      <c r="AX24" s="170">
        <f>-Model!AX54</f>
        <v>3642.423333</v>
      </c>
      <c r="AY24" s="170">
        <f>-Model!AY54</f>
        <v>3642.423333</v>
      </c>
      <c r="AZ24" s="170">
        <f>-Model!AZ54</f>
        <v>3642.423333</v>
      </c>
      <c r="BA24" s="170">
        <f>-Model!BA54</f>
        <v>3642.423333</v>
      </c>
      <c r="BB24" s="170">
        <f>-Model!BB54</f>
        <v>3642.423333</v>
      </c>
      <c r="BC24" s="170">
        <f>-Model!BC54</f>
        <v>3642.423333</v>
      </c>
      <c r="BD24" s="170">
        <f>-Model!BD54</f>
        <v>3642.423333</v>
      </c>
      <c r="BE24" s="170">
        <f>-Model!BE54</f>
        <v>3642.423333</v>
      </c>
      <c r="BF24" s="170">
        <f>-Model!BF54</f>
        <v>3642.423333</v>
      </c>
      <c r="BG24" s="170">
        <f>-Model!BG54</f>
        <v>3751.696033</v>
      </c>
      <c r="BH24" s="170">
        <f>-Model!BH54</f>
        <v>3751.696033</v>
      </c>
      <c r="BI24" s="170">
        <f>-Model!BI54</f>
        <v>3751.696033</v>
      </c>
      <c r="BJ24" s="170">
        <f>-Model!BJ54</f>
        <v>3751.696033</v>
      </c>
      <c r="BK24" s="170">
        <f>-Model!BK54</f>
        <v>3751.696033</v>
      </c>
      <c r="BL24" s="170">
        <f>-Model!BL54</f>
        <v>3751.696033</v>
      </c>
      <c r="BM24" s="170">
        <f>-Model!BM54</f>
        <v>3751.696033</v>
      </c>
      <c r="BN24" s="170">
        <f>-Model!BN54</f>
        <v>3751.696033</v>
      </c>
      <c r="BO24" s="170">
        <f>-Model!BO54</f>
        <v>3751.696033</v>
      </c>
      <c r="BP24" s="170">
        <f>-Model!BP54</f>
        <v>3751.696033</v>
      </c>
      <c r="BQ24" s="170">
        <f>-Model!BQ54</f>
        <v>3751.696033</v>
      </c>
      <c r="BR24" s="170">
        <f>-Model!BR54</f>
        <v>3751.696033</v>
      </c>
    </row>
    <row r="25" ht="14.25" customHeight="1">
      <c r="A25" s="170"/>
      <c r="B25" s="178" t="s">
        <v>165</v>
      </c>
      <c r="C25" s="179"/>
      <c r="D25" s="179"/>
      <c r="E25" s="170">
        <f t="shared" ref="E25:I25" si="20">SUMIFS($K25:$BR25,$K$1:$BR$1,E$1)</f>
        <v>14480.13606</v>
      </c>
      <c r="F25" s="170">
        <f t="shared" si="20"/>
        <v>20461.98091</v>
      </c>
      <c r="G25" s="170">
        <f t="shared" si="20"/>
        <v>11871.83909</v>
      </c>
      <c r="H25" s="170">
        <f t="shared" si="20"/>
        <v>12972.79931</v>
      </c>
      <c r="I25" s="170">
        <f t="shared" si="20"/>
        <v>14049.53525</v>
      </c>
      <c r="J25" s="170"/>
      <c r="K25" s="170">
        <f>-Model!K58</f>
        <v>658.7425</v>
      </c>
      <c r="L25" s="170">
        <f>-Model!L58</f>
        <v>829.5275926</v>
      </c>
      <c r="M25" s="170">
        <f>-Model!M58</f>
        <v>914.9201389</v>
      </c>
      <c r="N25" s="170">
        <f>-Model!N58</f>
        <v>1000.312685</v>
      </c>
      <c r="O25" s="170">
        <f>-Model!O58</f>
        <v>1085.705231</v>
      </c>
      <c r="P25" s="170">
        <f>-Model!P58</f>
        <v>1171.097778</v>
      </c>
      <c r="Q25" s="170">
        <f>-Model!Q58</f>
        <v>1256.490324</v>
      </c>
      <c r="R25" s="170">
        <f>-Model!R58</f>
        <v>1341.88287</v>
      </c>
      <c r="S25" s="170">
        <f>-Model!S58</f>
        <v>1427.275417</v>
      </c>
      <c r="T25" s="170">
        <f>-Model!T58</f>
        <v>1512.667963</v>
      </c>
      <c r="U25" s="170">
        <f>-Model!U58</f>
        <v>1598.060509</v>
      </c>
      <c r="V25" s="170">
        <f>-Model!V58</f>
        <v>1683.453056</v>
      </c>
      <c r="W25" s="170">
        <f>-Model!W58</f>
        <v>1415.076481</v>
      </c>
      <c r="X25" s="170">
        <f>-Model!X58</f>
        <v>1483.390519</v>
      </c>
      <c r="Y25" s="170">
        <f>-Model!Y58</f>
        <v>1551.704556</v>
      </c>
      <c r="Z25" s="170">
        <f>-Model!Z58</f>
        <v>1620.018593</v>
      </c>
      <c r="AA25" s="170">
        <f>-Model!AA58</f>
        <v>1688.33263</v>
      </c>
      <c r="AB25" s="170">
        <f>-Model!AB58</f>
        <v>1756.646667</v>
      </c>
      <c r="AC25" s="170">
        <f>-Model!AC58</f>
        <v>1775.677006</v>
      </c>
      <c r="AD25" s="170">
        <f>-Model!AD58</f>
        <v>1794.913506</v>
      </c>
      <c r="AE25" s="170">
        <f>-Model!AE58</f>
        <v>1814.358403</v>
      </c>
      <c r="AF25" s="170">
        <f>-Model!AF58</f>
        <v>1834.013952</v>
      </c>
      <c r="AG25" s="170">
        <f>-Model!AG58</f>
        <v>1853.882437</v>
      </c>
      <c r="AH25" s="170">
        <f>-Model!AH58</f>
        <v>1873.966163</v>
      </c>
      <c r="AI25" s="170">
        <f>-Model!AI58</f>
        <v>944.7912739</v>
      </c>
      <c r="AJ25" s="170">
        <f>-Model!AJ58</f>
        <v>952.6645345</v>
      </c>
      <c r="AK25" s="170">
        <f>-Model!AK58</f>
        <v>960.6034056</v>
      </c>
      <c r="AL25" s="170">
        <f>-Model!AL58</f>
        <v>968.608434</v>
      </c>
      <c r="AM25" s="170">
        <f>-Model!AM58</f>
        <v>976.6801709</v>
      </c>
      <c r="AN25" s="170">
        <f>-Model!AN58</f>
        <v>984.8191723</v>
      </c>
      <c r="AO25" s="170">
        <f>-Model!AO58</f>
        <v>993.0259988</v>
      </c>
      <c r="AP25" s="170">
        <f>-Model!AP58</f>
        <v>1001.301215</v>
      </c>
      <c r="AQ25" s="170">
        <f>-Model!AQ58</f>
        <v>1009.645392</v>
      </c>
      <c r="AR25" s="170">
        <f>-Model!AR58</f>
        <v>1018.059104</v>
      </c>
      <c r="AS25" s="170">
        <f>-Model!AS58</f>
        <v>1026.54293</v>
      </c>
      <c r="AT25" s="170">
        <f>-Model!AT58</f>
        <v>1035.097454</v>
      </c>
      <c r="AU25" s="170">
        <f>-Model!AU58</f>
        <v>1041.998104</v>
      </c>
      <c r="AV25" s="170">
        <f>-Model!AV58</f>
        <v>1048.944758</v>
      </c>
      <c r="AW25" s="170">
        <f>-Model!AW58</f>
        <v>1055.937723</v>
      </c>
      <c r="AX25" s="170">
        <f>-Model!AX58</f>
        <v>1062.977308</v>
      </c>
      <c r="AY25" s="170">
        <f>-Model!AY58</f>
        <v>1070.063823</v>
      </c>
      <c r="AZ25" s="170">
        <f>-Model!AZ58</f>
        <v>1077.197582</v>
      </c>
      <c r="BA25" s="170">
        <f>-Model!BA58</f>
        <v>1084.378899</v>
      </c>
      <c r="BB25" s="170">
        <f>-Model!BB58</f>
        <v>1091.608092</v>
      </c>
      <c r="BC25" s="170">
        <f>-Model!BC58</f>
        <v>1098.885479</v>
      </c>
      <c r="BD25" s="170">
        <f>-Model!BD58</f>
        <v>1106.211382</v>
      </c>
      <c r="BE25" s="170">
        <f>-Model!BE58</f>
        <v>1113.586125</v>
      </c>
      <c r="BF25" s="170">
        <f>-Model!BF58</f>
        <v>1121.010032</v>
      </c>
      <c r="BG25" s="170">
        <f>-Model!BG58</f>
        <v>1128.483433</v>
      </c>
      <c r="BH25" s="170">
        <f>-Model!BH58</f>
        <v>1136.006655</v>
      </c>
      <c r="BI25" s="170">
        <f>-Model!BI58</f>
        <v>1143.580033</v>
      </c>
      <c r="BJ25" s="170">
        <f>-Model!BJ58</f>
        <v>1151.2039</v>
      </c>
      <c r="BK25" s="170">
        <f>-Model!BK58</f>
        <v>1158.878593</v>
      </c>
      <c r="BL25" s="170">
        <f>-Model!BL58</f>
        <v>1166.60445</v>
      </c>
      <c r="BM25" s="170">
        <f>-Model!BM58</f>
        <v>1174.381813</v>
      </c>
      <c r="BN25" s="170">
        <f>-Model!BN58</f>
        <v>1182.211025</v>
      </c>
      <c r="BO25" s="170">
        <f>-Model!BO58</f>
        <v>1190.092432</v>
      </c>
      <c r="BP25" s="170">
        <f>-Model!BP58</f>
        <v>1198.026381</v>
      </c>
      <c r="BQ25" s="170">
        <f>-Model!BQ58</f>
        <v>1206.013224</v>
      </c>
      <c r="BR25" s="170">
        <f>-Model!BR58</f>
        <v>1214.053312</v>
      </c>
    </row>
    <row r="26" ht="14.25" customHeight="1">
      <c r="A26" s="170"/>
      <c r="B26" s="178" t="s">
        <v>166</v>
      </c>
      <c r="C26" s="179"/>
      <c r="D26" s="179"/>
      <c r="E26" s="170">
        <f t="shared" ref="E26:I26" si="21">SUMIFS($K26:$BR26,$K$1:$BR$1,E$1)</f>
        <v>0</v>
      </c>
      <c r="F26" s="170">
        <f t="shared" si="21"/>
        <v>78437.59349</v>
      </c>
      <c r="G26" s="170">
        <f t="shared" si="21"/>
        <v>91017.43299</v>
      </c>
      <c r="H26" s="170">
        <f t="shared" si="21"/>
        <v>99458.12802</v>
      </c>
      <c r="I26" s="170">
        <f t="shared" si="21"/>
        <v>107713.1036</v>
      </c>
      <c r="J26" s="170"/>
      <c r="K26" s="170">
        <f>-Model!K48</f>
        <v>0</v>
      </c>
      <c r="L26" s="170">
        <f>-Model!L48</f>
        <v>0</v>
      </c>
      <c r="M26" s="170">
        <f>-Model!M48</f>
        <v>0</v>
      </c>
      <c r="N26" s="170">
        <f>-Model!N48</f>
        <v>0</v>
      </c>
      <c r="O26" s="170">
        <f>-Model!O48</f>
        <v>0</v>
      </c>
      <c r="P26" s="170">
        <f>-Model!P48</f>
        <v>0</v>
      </c>
      <c r="Q26" s="170">
        <f>-Model!Q48</f>
        <v>0</v>
      </c>
      <c r="R26" s="170">
        <f>-Model!R48</f>
        <v>0</v>
      </c>
      <c r="S26" s="170">
        <f>-Model!S48</f>
        <v>0</v>
      </c>
      <c r="T26" s="170">
        <f>-Model!T48</f>
        <v>0</v>
      </c>
      <c r="U26" s="170">
        <f>-Model!U48</f>
        <v>0</v>
      </c>
      <c r="V26" s="170">
        <f>-Model!V48</f>
        <v>0</v>
      </c>
      <c r="W26" s="170">
        <f>-Model!W48</f>
        <v>6536.466124</v>
      </c>
      <c r="X26" s="170">
        <f>-Model!X48</f>
        <v>6536.466124</v>
      </c>
      <c r="Y26" s="170">
        <f>-Model!Y48</f>
        <v>6536.466124</v>
      </c>
      <c r="Z26" s="170">
        <f>-Model!Z48</f>
        <v>6536.466124</v>
      </c>
      <c r="AA26" s="170">
        <f>-Model!AA48</f>
        <v>6536.466124</v>
      </c>
      <c r="AB26" s="170">
        <f>-Model!AB48</f>
        <v>6536.466124</v>
      </c>
      <c r="AC26" s="170">
        <f>-Model!AC48</f>
        <v>6536.466124</v>
      </c>
      <c r="AD26" s="170">
        <f>-Model!AD48</f>
        <v>6536.466124</v>
      </c>
      <c r="AE26" s="170">
        <f>-Model!AE48</f>
        <v>6536.466124</v>
      </c>
      <c r="AF26" s="170">
        <f>-Model!AF48</f>
        <v>6536.466124</v>
      </c>
      <c r="AG26" s="170">
        <f>-Model!AG48</f>
        <v>6536.466124</v>
      </c>
      <c r="AH26" s="170">
        <f>-Model!AH48</f>
        <v>6536.466124</v>
      </c>
      <c r="AI26" s="170">
        <f>-Model!AI48</f>
        <v>7584.786082</v>
      </c>
      <c r="AJ26" s="170">
        <f>-Model!AJ48</f>
        <v>7584.786082</v>
      </c>
      <c r="AK26" s="170">
        <f>-Model!AK48</f>
        <v>7584.786082</v>
      </c>
      <c r="AL26" s="170">
        <f>-Model!AL48</f>
        <v>7584.786082</v>
      </c>
      <c r="AM26" s="170">
        <f>-Model!AM48</f>
        <v>7584.786082</v>
      </c>
      <c r="AN26" s="170">
        <f>-Model!AN48</f>
        <v>7584.786082</v>
      </c>
      <c r="AO26" s="170">
        <f>-Model!AO48</f>
        <v>7584.786082</v>
      </c>
      <c r="AP26" s="170">
        <f>-Model!AP48</f>
        <v>7584.786082</v>
      </c>
      <c r="AQ26" s="170">
        <f>-Model!AQ48</f>
        <v>7584.786082</v>
      </c>
      <c r="AR26" s="170">
        <f>-Model!AR48</f>
        <v>7584.786082</v>
      </c>
      <c r="AS26" s="170">
        <f>-Model!AS48</f>
        <v>7584.786082</v>
      </c>
      <c r="AT26" s="170">
        <f>-Model!AT48</f>
        <v>7584.786082</v>
      </c>
      <c r="AU26" s="170">
        <f>-Model!AU48</f>
        <v>8288.177335</v>
      </c>
      <c r="AV26" s="170">
        <f>-Model!AV48</f>
        <v>8288.177335</v>
      </c>
      <c r="AW26" s="170">
        <f>-Model!AW48</f>
        <v>8288.177335</v>
      </c>
      <c r="AX26" s="170">
        <f>-Model!AX48</f>
        <v>8288.177335</v>
      </c>
      <c r="AY26" s="170">
        <f>-Model!AY48</f>
        <v>8288.177335</v>
      </c>
      <c r="AZ26" s="170">
        <f>-Model!AZ48</f>
        <v>8288.177335</v>
      </c>
      <c r="BA26" s="170">
        <f>-Model!BA48</f>
        <v>8288.177335</v>
      </c>
      <c r="BB26" s="170">
        <f>-Model!BB48</f>
        <v>8288.177335</v>
      </c>
      <c r="BC26" s="170">
        <f>-Model!BC48</f>
        <v>8288.177335</v>
      </c>
      <c r="BD26" s="170">
        <f>-Model!BD48</f>
        <v>8288.177335</v>
      </c>
      <c r="BE26" s="170">
        <f>-Model!BE48</f>
        <v>8288.177335</v>
      </c>
      <c r="BF26" s="170">
        <f>-Model!BF48</f>
        <v>8288.177335</v>
      </c>
      <c r="BG26" s="170">
        <f>-Model!BG48</f>
        <v>8976.091966</v>
      </c>
      <c r="BH26" s="170">
        <f>-Model!BH48</f>
        <v>8976.091966</v>
      </c>
      <c r="BI26" s="170">
        <f>-Model!BI48</f>
        <v>8976.091966</v>
      </c>
      <c r="BJ26" s="170">
        <f>-Model!BJ48</f>
        <v>8976.091966</v>
      </c>
      <c r="BK26" s="170">
        <f>-Model!BK48</f>
        <v>8976.091966</v>
      </c>
      <c r="BL26" s="170">
        <f>-Model!BL48</f>
        <v>8976.091966</v>
      </c>
      <c r="BM26" s="170">
        <f>-Model!BM48</f>
        <v>8976.091966</v>
      </c>
      <c r="BN26" s="170">
        <f>-Model!BN48</f>
        <v>8976.091966</v>
      </c>
      <c r="BO26" s="170">
        <f>-Model!BO48</f>
        <v>8976.091966</v>
      </c>
      <c r="BP26" s="170">
        <f>-Model!BP48</f>
        <v>8976.091966</v>
      </c>
      <c r="BQ26" s="170">
        <f>-Model!BQ48</f>
        <v>8976.091966</v>
      </c>
      <c r="BR26" s="170">
        <f>-Model!BR48</f>
        <v>8976.091966</v>
      </c>
    </row>
    <row r="27" ht="14.25" customHeight="1">
      <c r="A27" s="170"/>
      <c r="B27" s="178" t="s">
        <v>167</v>
      </c>
      <c r="C27" s="179"/>
      <c r="D27" s="179"/>
      <c r="E27" s="170">
        <f t="shared" ref="E27:I27" si="22">SUMIFS($K27:$BR27,$K$1:$BR$1,E$1)</f>
        <v>8688.081639</v>
      </c>
      <c r="F27" s="170">
        <f t="shared" si="22"/>
        <v>31034.00438</v>
      </c>
      <c r="G27" s="170">
        <f t="shared" si="22"/>
        <v>36011.24523</v>
      </c>
      <c r="H27" s="170">
        <f t="shared" si="22"/>
        <v>39350.82456</v>
      </c>
      <c r="I27" s="170">
        <f t="shared" si="22"/>
        <v>42616.92359</v>
      </c>
      <c r="J27" s="170"/>
      <c r="K27" s="170">
        <f>-Model!K50</f>
        <v>395.2455</v>
      </c>
      <c r="L27" s="170">
        <f>-Model!L50</f>
        <v>497.7165556</v>
      </c>
      <c r="M27" s="170">
        <f>-Model!M50</f>
        <v>548.9520833</v>
      </c>
      <c r="N27" s="170">
        <f>-Model!N50</f>
        <v>600.1876111</v>
      </c>
      <c r="O27" s="170">
        <f>-Model!O50</f>
        <v>651.4231389</v>
      </c>
      <c r="P27" s="170">
        <f>-Model!P50</f>
        <v>702.6586667</v>
      </c>
      <c r="Q27" s="170">
        <f>-Model!Q50</f>
        <v>753.8941944</v>
      </c>
      <c r="R27" s="170">
        <f>-Model!R50</f>
        <v>805.1297222</v>
      </c>
      <c r="S27" s="170">
        <f>-Model!S50</f>
        <v>856.36525</v>
      </c>
      <c r="T27" s="170">
        <f>-Model!T50</f>
        <v>907.6007778</v>
      </c>
      <c r="U27" s="170">
        <f>-Model!U50</f>
        <v>958.8363056</v>
      </c>
      <c r="V27" s="170">
        <f>-Model!V50</f>
        <v>1010.071833</v>
      </c>
      <c r="W27" s="170">
        <f>-Model!W50</f>
        <v>2368.600586</v>
      </c>
      <c r="X27" s="170">
        <f>-Model!X50</f>
        <v>2419.836114</v>
      </c>
      <c r="Y27" s="170">
        <f>-Model!Y50</f>
        <v>2471.071642</v>
      </c>
      <c r="Z27" s="170">
        <f>-Model!Z50</f>
        <v>2522.307169</v>
      </c>
      <c r="AA27" s="170">
        <f>-Model!AA50</f>
        <v>2573.542697</v>
      </c>
      <c r="AB27" s="170">
        <f>-Model!AB50</f>
        <v>2624.778225</v>
      </c>
      <c r="AC27" s="170">
        <f>-Model!AC50</f>
        <v>2639.050979</v>
      </c>
      <c r="AD27" s="170">
        <f>-Model!AD50</f>
        <v>2653.478355</v>
      </c>
      <c r="AE27" s="170">
        <f>-Model!AE50</f>
        <v>2668.062027</v>
      </c>
      <c r="AF27" s="170">
        <f>-Model!AF50</f>
        <v>2682.803689</v>
      </c>
      <c r="AG27" s="170">
        <f>-Model!AG50</f>
        <v>2697.705052</v>
      </c>
      <c r="AH27" s="170">
        <f>-Model!AH50</f>
        <v>2712.767847</v>
      </c>
      <c r="AI27" s="170">
        <f>-Model!AI50</f>
        <v>2934.144127</v>
      </c>
      <c r="AJ27" s="170">
        <f>-Model!AJ50</f>
        <v>2945.954018</v>
      </c>
      <c r="AK27" s="170">
        <f>-Model!AK50</f>
        <v>2957.862325</v>
      </c>
      <c r="AL27" s="170">
        <f>-Model!AL50</f>
        <v>2969.869867</v>
      </c>
      <c r="AM27" s="170">
        <f>-Model!AM50</f>
        <v>2981.977473</v>
      </c>
      <c r="AN27" s="170">
        <f>-Model!AN50</f>
        <v>2994.185975</v>
      </c>
      <c r="AO27" s="170">
        <f>-Model!AO50</f>
        <v>3006.496215</v>
      </c>
      <c r="AP27" s="170">
        <f>-Model!AP50</f>
        <v>3018.90904</v>
      </c>
      <c r="AQ27" s="170">
        <f>-Model!AQ50</f>
        <v>3031.425305</v>
      </c>
      <c r="AR27" s="170">
        <f>-Model!AR50</f>
        <v>3044.045872</v>
      </c>
      <c r="AS27" s="170">
        <f>-Model!AS50</f>
        <v>3056.771611</v>
      </c>
      <c r="AT27" s="170">
        <f>-Model!AT50</f>
        <v>3069.603398</v>
      </c>
      <c r="AU27" s="170">
        <f>-Model!AU50</f>
        <v>3220.632623</v>
      </c>
      <c r="AV27" s="170">
        <f>-Model!AV50</f>
        <v>3231.052604</v>
      </c>
      <c r="AW27" s="170">
        <f>-Model!AW50</f>
        <v>3241.542051</v>
      </c>
      <c r="AX27" s="170">
        <f>-Model!AX50</f>
        <v>3252.101428</v>
      </c>
      <c r="AY27" s="170">
        <f>-Model!AY50</f>
        <v>3262.731202</v>
      </c>
      <c r="AZ27" s="170">
        <f>-Model!AZ50</f>
        <v>3273.43184</v>
      </c>
      <c r="BA27" s="170">
        <f>-Model!BA50</f>
        <v>3284.203816</v>
      </c>
      <c r="BB27" s="170">
        <f>-Model!BB50</f>
        <v>3295.047605</v>
      </c>
      <c r="BC27" s="170">
        <f>-Model!BC50</f>
        <v>3305.963686</v>
      </c>
      <c r="BD27" s="170">
        <f>-Model!BD50</f>
        <v>3316.95254</v>
      </c>
      <c r="BE27" s="170">
        <f>-Model!BE50</f>
        <v>3328.014654</v>
      </c>
      <c r="BF27" s="170">
        <f>-Model!BF50</f>
        <v>3339.150515</v>
      </c>
      <c r="BG27" s="170">
        <f>-Model!BG50</f>
        <v>3487.943542</v>
      </c>
      <c r="BH27" s="170">
        <f>-Model!BH50</f>
        <v>3499.228376</v>
      </c>
      <c r="BI27" s="170">
        <f>-Model!BI50</f>
        <v>3510.588443</v>
      </c>
      <c r="BJ27" s="170">
        <f>-Model!BJ50</f>
        <v>3522.024243</v>
      </c>
      <c r="BK27" s="170">
        <f>-Model!BK50</f>
        <v>3533.536282</v>
      </c>
      <c r="BL27" s="170">
        <f>-Model!BL50</f>
        <v>3545.125068</v>
      </c>
      <c r="BM27" s="170">
        <f>-Model!BM50</f>
        <v>3556.791113</v>
      </c>
      <c r="BN27" s="170">
        <f>-Model!BN50</f>
        <v>3568.534931</v>
      </c>
      <c r="BO27" s="170">
        <f>-Model!BO50</f>
        <v>3580.357041</v>
      </c>
      <c r="BP27" s="170">
        <f>-Model!BP50</f>
        <v>3592.257965</v>
      </c>
      <c r="BQ27" s="170">
        <f>-Model!BQ50</f>
        <v>3604.238229</v>
      </c>
      <c r="BR27" s="170">
        <f>-Model!BR50</f>
        <v>3616.298361</v>
      </c>
    </row>
    <row r="28" ht="14.25" customHeight="1">
      <c r="A28" s="170"/>
      <c r="B28" s="178" t="s">
        <v>168</v>
      </c>
      <c r="C28" s="179"/>
      <c r="D28" s="179"/>
      <c r="E28" s="170">
        <f t="shared" ref="E28:I28" si="23">SUMIFS($K28:$BR28,$K$1:$BR$1,E$1)</f>
        <v>8688.081639</v>
      </c>
      <c r="F28" s="170">
        <f t="shared" si="23"/>
        <v>15346.48568</v>
      </c>
      <c r="G28" s="170">
        <f t="shared" si="23"/>
        <v>17807.75863</v>
      </c>
      <c r="H28" s="170">
        <f t="shared" si="23"/>
        <v>19459.19896</v>
      </c>
      <c r="I28" s="170">
        <f t="shared" si="23"/>
        <v>21074.30288</v>
      </c>
      <c r="J28" s="170"/>
      <c r="K28" s="170">
        <f>-Model!K62</f>
        <v>395.2455</v>
      </c>
      <c r="L28" s="170">
        <f>-Model!L62</f>
        <v>497.7165556</v>
      </c>
      <c r="M28" s="170">
        <f>-Model!M62</f>
        <v>548.9520833</v>
      </c>
      <c r="N28" s="170">
        <f>-Model!N62</f>
        <v>600.1876111</v>
      </c>
      <c r="O28" s="170">
        <f>-Model!O62</f>
        <v>651.4231389</v>
      </c>
      <c r="P28" s="170">
        <f>-Model!P62</f>
        <v>702.6586667</v>
      </c>
      <c r="Q28" s="170">
        <f>-Model!Q62</f>
        <v>753.8941944</v>
      </c>
      <c r="R28" s="170">
        <f>-Model!R62</f>
        <v>805.1297222</v>
      </c>
      <c r="S28" s="170">
        <f>-Model!S62</f>
        <v>856.36525</v>
      </c>
      <c r="T28" s="170">
        <f>-Model!T62</f>
        <v>907.6007778</v>
      </c>
      <c r="U28" s="170">
        <f>-Model!U62</f>
        <v>958.8363056</v>
      </c>
      <c r="V28" s="170">
        <f>-Model!V62</f>
        <v>1010.071833</v>
      </c>
      <c r="W28" s="170">
        <f>-Model!W62</f>
        <v>1061.307361</v>
      </c>
      <c r="X28" s="170">
        <f>-Model!X62</f>
        <v>1112.542889</v>
      </c>
      <c r="Y28" s="170">
        <f>-Model!Y62</f>
        <v>1163.778417</v>
      </c>
      <c r="Z28" s="170">
        <f>-Model!Z62</f>
        <v>1215.013944</v>
      </c>
      <c r="AA28" s="170">
        <f>-Model!AA62</f>
        <v>1266.249472</v>
      </c>
      <c r="AB28" s="170">
        <f>-Model!AB62</f>
        <v>1317.485</v>
      </c>
      <c r="AC28" s="170">
        <f>-Model!AC62</f>
        <v>1331.757754</v>
      </c>
      <c r="AD28" s="170">
        <f>-Model!AD62</f>
        <v>1346.18513</v>
      </c>
      <c r="AE28" s="170">
        <f>-Model!AE62</f>
        <v>1360.768802</v>
      </c>
      <c r="AF28" s="170">
        <f>-Model!AF62</f>
        <v>1375.510464</v>
      </c>
      <c r="AG28" s="170">
        <f>-Model!AG62</f>
        <v>1390.411827</v>
      </c>
      <c r="AH28" s="170">
        <f>-Model!AH62</f>
        <v>1405.474622</v>
      </c>
      <c r="AI28" s="170">
        <f>-Model!AI62</f>
        <v>1417.186911</v>
      </c>
      <c r="AJ28" s="170">
        <f>-Model!AJ62</f>
        <v>1428.996802</v>
      </c>
      <c r="AK28" s="170">
        <f>-Model!AK62</f>
        <v>1440.905108</v>
      </c>
      <c r="AL28" s="170">
        <f>-Model!AL62</f>
        <v>1452.912651</v>
      </c>
      <c r="AM28" s="170">
        <f>-Model!AM62</f>
        <v>1465.020256</v>
      </c>
      <c r="AN28" s="170">
        <f>-Model!AN62</f>
        <v>1477.228759</v>
      </c>
      <c r="AO28" s="170">
        <f>-Model!AO62</f>
        <v>1489.538998</v>
      </c>
      <c r="AP28" s="170">
        <f>-Model!AP62</f>
        <v>1501.951823</v>
      </c>
      <c r="AQ28" s="170">
        <f>-Model!AQ62</f>
        <v>1514.468088</v>
      </c>
      <c r="AR28" s="170">
        <f>-Model!AR62</f>
        <v>1527.088656</v>
      </c>
      <c r="AS28" s="170">
        <f>-Model!AS62</f>
        <v>1539.814395</v>
      </c>
      <c r="AT28" s="170">
        <f>-Model!AT62</f>
        <v>1552.646181</v>
      </c>
      <c r="AU28" s="170">
        <f>-Model!AU62</f>
        <v>1562.997156</v>
      </c>
      <c r="AV28" s="170">
        <f>-Model!AV62</f>
        <v>1573.417137</v>
      </c>
      <c r="AW28" s="170">
        <f>-Model!AW62</f>
        <v>1583.906584</v>
      </c>
      <c r="AX28" s="170">
        <f>-Model!AX62</f>
        <v>1594.465962</v>
      </c>
      <c r="AY28" s="170">
        <f>-Model!AY62</f>
        <v>1605.095735</v>
      </c>
      <c r="AZ28" s="170">
        <f>-Model!AZ62</f>
        <v>1615.796373</v>
      </c>
      <c r="BA28" s="170">
        <f>-Model!BA62</f>
        <v>1626.568349</v>
      </c>
      <c r="BB28" s="170">
        <f>-Model!BB62</f>
        <v>1637.412138</v>
      </c>
      <c r="BC28" s="170">
        <f>-Model!BC62</f>
        <v>1648.328219</v>
      </c>
      <c r="BD28" s="170">
        <f>-Model!BD62</f>
        <v>1659.317073</v>
      </c>
      <c r="BE28" s="170">
        <f>-Model!BE62</f>
        <v>1670.379187</v>
      </c>
      <c r="BF28" s="170">
        <f>-Model!BF62</f>
        <v>1681.515048</v>
      </c>
      <c r="BG28" s="170">
        <f>-Model!BG62</f>
        <v>1692.725149</v>
      </c>
      <c r="BH28" s="170">
        <f>-Model!BH62</f>
        <v>1704.009983</v>
      </c>
      <c r="BI28" s="170">
        <f>-Model!BI62</f>
        <v>1715.37005</v>
      </c>
      <c r="BJ28" s="170">
        <f>-Model!BJ62</f>
        <v>1726.80585</v>
      </c>
      <c r="BK28" s="170">
        <f>-Model!BK62</f>
        <v>1738.317889</v>
      </c>
      <c r="BL28" s="170">
        <f>-Model!BL62</f>
        <v>1749.906675</v>
      </c>
      <c r="BM28" s="170">
        <f>-Model!BM62</f>
        <v>1761.572719</v>
      </c>
      <c r="BN28" s="170">
        <f>-Model!BN62</f>
        <v>1773.316538</v>
      </c>
      <c r="BO28" s="170">
        <f>-Model!BO62</f>
        <v>1785.138648</v>
      </c>
      <c r="BP28" s="170">
        <f>-Model!BP62</f>
        <v>1797.039572</v>
      </c>
      <c r="BQ28" s="170">
        <f>-Model!BQ62</f>
        <v>1809.019836</v>
      </c>
      <c r="BR28" s="170">
        <f>-Model!BR62</f>
        <v>1821.079968</v>
      </c>
    </row>
    <row r="29" ht="14.25" customHeight="1">
      <c r="A29" s="170"/>
      <c r="B29" s="178" t="str">
        <f>'Input Assumptions'!D43</f>
        <v>Non-CapEx investments</v>
      </c>
      <c r="C29" s="179"/>
      <c r="D29" s="179"/>
      <c r="E29" s="170">
        <f t="shared" ref="E29:I29" si="24">SUMIFS($K29:$BR29,$K$1:$BR$1,E$1)</f>
        <v>93675</v>
      </c>
      <c r="F29" s="170">
        <f t="shared" si="24"/>
        <v>0</v>
      </c>
      <c r="G29" s="170">
        <f t="shared" si="24"/>
        <v>0</v>
      </c>
      <c r="H29" s="170">
        <f t="shared" si="24"/>
        <v>0</v>
      </c>
      <c r="I29" s="170">
        <f t="shared" si="24"/>
        <v>0</v>
      </c>
      <c r="J29" s="170"/>
      <c r="K29" s="170">
        <f>-Model!K64</f>
        <v>7806.25</v>
      </c>
      <c r="L29" s="170">
        <f>-Model!L64</f>
        <v>7806.25</v>
      </c>
      <c r="M29" s="170">
        <f>-Model!M64</f>
        <v>7806.25</v>
      </c>
      <c r="N29" s="170">
        <f>-Model!N64</f>
        <v>7806.25</v>
      </c>
      <c r="O29" s="170">
        <f>-Model!O64</f>
        <v>7806.25</v>
      </c>
      <c r="P29" s="170">
        <f>-Model!P64</f>
        <v>7806.25</v>
      </c>
      <c r="Q29" s="170">
        <f>-Model!Q64</f>
        <v>7806.25</v>
      </c>
      <c r="R29" s="170">
        <f>-Model!R64</f>
        <v>7806.25</v>
      </c>
      <c r="S29" s="170">
        <f>-Model!S64</f>
        <v>7806.25</v>
      </c>
      <c r="T29" s="170">
        <f>-Model!T64</f>
        <v>7806.25</v>
      </c>
      <c r="U29" s="170">
        <f>-Model!U64</f>
        <v>7806.25</v>
      </c>
      <c r="V29" s="170">
        <f>-Model!V64</f>
        <v>7806.25</v>
      </c>
      <c r="W29" s="170">
        <f>-Model!W64</f>
        <v>0</v>
      </c>
      <c r="X29" s="170">
        <f>-Model!X64</f>
        <v>0</v>
      </c>
      <c r="Y29" s="170">
        <f>-Model!Y64</f>
        <v>0</v>
      </c>
      <c r="Z29" s="170">
        <f>-Model!Z64</f>
        <v>0</v>
      </c>
      <c r="AA29" s="170">
        <f>-Model!AA64</f>
        <v>0</v>
      </c>
      <c r="AB29" s="170">
        <f>-Model!AB64</f>
        <v>0</v>
      </c>
      <c r="AC29" s="170">
        <f>-Model!AC64</f>
        <v>0</v>
      </c>
      <c r="AD29" s="170">
        <f>-Model!AD64</f>
        <v>0</v>
      </c>
      <c r="AE29" s="170">
        <f>-Model!AE64</f>
        <v>0</v>
      </c>
      <c r="AF29" s="170">
        <f>-Model!AF64</f>
        <v>0</v>
      </c>
      <c r="AG29" s="170">
        <f>-Model!AG64</f>
        <v>0</v>
      </c>
      <c r="AH29" s="170">
        <f>-Model!AH64</f>
        <v>0</v>
      </c>
      <c r="AI29" s="170">
        <f>-Model!AI64</f>
        <v>0</v>
      </c>
      <c r="AJ29" s="170">
        <f>-Model!AJ64</f>
        <v>0</v>
      </c>
      <c r="AK29" s="170">
        <f>-Model!AK64</f>
        <v>0</v>
      </c>
      <c r="AL29" s="170">
        <f>-Model!AL64</f>
        <v>0</v>
      </c>
      <c r="AM29" s="170">
        <f>-Model!AM64</f>
        <v>0</v>
      </c>
      <c r="AN29" s="170">
        <f>-Model!AN64</f>
        <v>0</v>
      </c>
      <c r="AO29" s="170">
        <f>-Model!AO64</f>
        <v>0</v>
      </c>
      <c r="AP29" s="170">
        <f>-Model!AP64</f>
        <v>0</v>
      </c>
      <c r="AQ29" s="170">
        <f>-Model!AQ64</f>
        <v>0</v>
      </c>
      <c r="AR29" s="170">
        <f>-Model!AR64</f>
        <v>0</v>
      </c>
      <c r="AS29" s="170">
        <f>-Model!AS64</f>
        <v>0</v>
      </c>
      <c r="AT29" s="170">
        <f>-Model!AT64</f>
        <v>0</v>
      </c>
      <c r="AU29" s="170">
        <f>-Model!AU64</f>
        <v>0</v>
      </c>
      <c r="AV29" s="170">
        <f>-Model!AV64</f>
        <v>0</v>
      </c>
      <c r="AW29" s="170">
        <f>-Model!AW64</f>
        <v>0</v>
      </c>
      <c r="AX29" s="170">
        <f>-Model!AX64</f>
        <v>0</v>
      </c>
      <c r="AY29" s="170">
        <f>-Model!AY64</f>
        <v>0</v>
      </c>
      <c r="AZ29" s="170">
        <f>-Model!AZ64</f>
        <v>0</v>
      </c>
      <c r="BA29" s="170">
        <f>-Model!BA64</f>
        <v>0</v>
      </c>
      <c r="BB29" s="170">
        <f>-Model!BB64</f>
        <v>0</v>
      </c>
      <c r="BC29" s="170">
        <f>-Model!BC64</f>
        <v>0</v>
      </c>
      <c r="BD29" s="170">
        <f>-Model!BD64</f>
        <v>0</v>
      </c>
      <c r="BE29" s="170">
        <f>-Model!BE64</f>
        <v>0</v>
      </c>
      <c r="BF29" s="170">
        <f>-Model!BF64</f>
        <v>0</v>
      </c>
      <c r="BG29" s="170">
        <f>-Model!BG64</f>
        <v>0</v>
      </c>
      <c r="BH29" s="170">
        <f>-Model!BH64</f>
        <v>0</v>
      </c>
      <c r="BI29" s="170">
        <f>-Model!BI64</f>
        <v>0</v>
      </c>
      <c r="BJ29" s="170">
        <f>-Model!BJ64</f>
        <v>0</v>
      </c>
      <c r="BK29" s="170">
        <f>-Model!BK64</f>
        <v>0</v>
      </c>
      <c r="BL29" s="170">
        <f>-Model!BL64</f>
        <v>0</v>
      </c>
      <c r="BM29" s="170">
        <f>-Model!BM64</f>
        <v>0</v>
      </c>
      <c r="BN29" s="170">
        <f>-Model!BN64</f>
        <v>0</v>
      </c>
      <c r="BO29" s="170">
        <f>-Model!BO64</f>
        <v>0</v>
      </c>
      <c r="BP29" s="170">
        <f>-Model!BP64</f>
        <v>0</v>
      </c>
      <c r="BQ29" s="170">
        <f>-Model!BQ64</f>
        <v>0</v>
      </c>
      <c r="BR29" s="170">
        <f>-Model!BR64</f>
        <v>0</v>
      </c>
    </row>
    <row r="30" ht="14.25" customHeight="1">
      <c r="A30" s="170"/>
      <c r="B30" s="196" t="s">
        <v>169</v>
      </c>
      <c r="C30" s="197"/>
      <c r="D30" s="197"/>
      <c r="E30" s="185">
        <f t="shared" ref="E30:I30" si="25">SUM(E24:E29)</f>
        <v>165531.2993</v>
      </c>
      <c r="F30" s="185">
        <f t="shared" si="25"/>
        <v>186480.0645</v>
      </c>
      <c r="G30" s="185">
        <f t="shared" si="25"/>
        <v>199144.2759</v>
      </c>
      <c r="H30" s="185">
        <f t="shared" si="25"/>
        <v>214950.0308</v>
      </c>
      <c r="I30" s="185">
        <f t="shared" si="25"/>
        <v>230474.2177</v>
      </c>
      <c r="J30" s="170"/>
      <c r="K30" s="185">
        <f t="shared" ref="K30:BR30" si="26">SUM(K24:K29)</f>
        <v>12588.81683</v>
      </c>
      <c r="L30" s="185">
        <f t="shared" si="26"/>
        <v>12964.54404</v>
      </c>
      <c r="M30" s="185">
        <f t="shared" si="26"/>
        <v>13152.40764</v>
      </c>
      <c r="N30" s="185">
        <f t="shared" si="26"/>
        <v>13340.27124</v>
      </c>
      <c r="O30" s="185">
        <f t="shared" si="26"/>
        <v>13528.13484</v>
      </c>
      <c r="P30" s="185">
        <f t="shared" si="26"/>
        <v>13715.99844</v>
      </c>
      <c r="Q30" s="185">
        <f t="shared" si="26"/>
        <v>13903.86205</v>
      </c>
      <c r="R30" s="185">
        <f t="shared" si="26"/>
        <v>14091.72565</v>
      </c>
      <c r="S30" s="185">
        <f t="shared" si="26"/>
        <v>14279.58925</v>
      </c>
      <c r="T30" s="185">
        <f t="shared" si="26"/>
        <v>14467.45285</v>
      </c>
      <c r="U30" s="185">
        <f t="shared" si="26"/>
        <v>14655.31645</v>
      </c>
      <c r="V30" s="185">
        <f t="shared" si="26"/>
        <v>14843.18006</v>
      </c>
      <c r="W30" s="185">
        <f t="shared" si="26"/>
        <v>14814.78389</v>
      </c>
      <c r="X30" s="185">
        <f t="shared" si="26"/>
        <v>14985.56898</v>
      </c>
      <c r="Y30" s="185">
        <f t="shared" si="26"/>
        <v>15156.35407</v>
      </c>
      <c r="Z30" s="185">
        <f t="shared" si="26"/>
        <v>15327.13916</v>
      </c>
      <c r="AA30" s="185">
        <f t="shared" si="26"/>
        <v>15497.92426</v>
      </c>
      <c r="AB30" s="185">
        <f t="shared" si="26"/>
        <v>15668.70935</v>
      </c>
      <c r="AC30" s="185">
        <f t="shared" si="26"/>
        <v>15716.2852</v>
      </c>
      <c r="AD30" s="185">
        <f t="shared" si="26"/>
        <v>15764.37645</v>
      </c>
      <c r="AE30" s="185">
        <f t="shared" si="26"/>
        <v>15812.98869</v>
      </c>
      <c r="AF30" s="185">
        <f t="shared" si="26"/>
        <v>15862.12756</v>
      </c>
      <c r="AG30" s="185">
        <f t="shared" si="26"/>
        <v>15911.79877</v>
      </c>
      <c r="AH30" s="185">
        <f t="shared" si="26"/>
        <v>15962.00809</v>
      </c>
      <c r="AI30" s="185">
        <f t="shared" si="26"/>
        <v>16417.24173</v>
      </c>
      <c r="AJ30" s="185">
        <f t="shared" si="26"/>
        <v>16448.73477</v>
      </c>
      <c r="AK30" s="185">
        <f t="shared" si="26"/>
        <v>16480.49025</v>
      </c>
      <c r="AL30" s="185">
        <f t="shared" si="26"/>
        <v>16512.51037</v>
      </c>
      <c r="AM30" s="185">
        <f t="shared" si="26"/>
        <v>16544.79732</v>
      </c>
      <c r="AN30" s="185">
        <f t="shared" si="26"/>
        <v>16577.35332</v>
      </c>
      <c r="AO30" s="185">
        <f t="shared" si="26"/>
        <v>16610.18063</v>
      </c>
      <c r="AP30" s="185">
        <f t="shared" si="26"/>
        <v>16643.28149</v>
      </c>
      <c r="AQ30" s="185">
        <f t="shared" si="26"/>
        <v>16676.6582</v>
      </c>
      <c r="AR30" s="185">
        <f t="shared" si="26"/>
        <v>16710.31305</v>
      </c>
      <c r="AS30" s="185">
        <f t="shared" si="26"/>
        <v>16744.24835</v>
      </c>
      <c r="AT30" s="185">
        <f t="shared" si="26"/>
        <v>16778.46645</v>
      </c>
      <c r="AU30" s="185">
        <f t="shared" si="26"/>
        <v>17756.22855</v>
      </c>
      <c r="AV30" s="185">
        <f t="shared" si="26"/>
        <v>17784.01517</v>
      </c>
      <c r="AW30" s="185">
        <f t="shared" si="26"/>
        <v>17811.98703</v>
      </c>
      <c r="AX30" s="185">
        <f t="shared" si="26"/>
        <v>17840.14537</v>
      </c>
      <c r="AY30" s="185">
        <f t="shared" si="26"/>
        <v>17868.49143</v>
      </c>
      <c r="AZ30" s="185">
        <f t="shared" si="26"/>
        <v>17897.02646</v>
      </c>
      <c r="BA30" s="185">
        <f t="shared" si="26"/>
        <v>17925.75173</v>
      </c>
      <c r="BB30" s="185">
        <f t="shared" si="26"/>
        <v>17954.6685</v>
      </c>
      <c r="BC30" s="185">
        <f t="shared" si="26"/>
        <v>17983.77805</v>
      </c>
      <c r="BD30" s="185">
        <f t="shared" si="26"/>
        <v>18013.08166</v>
      </c>
      <c r="BE30" s="185">
        <f t="shared" si="26"/>
        <v>18042.58063</v>
      </c>
      <c r="BF30" s="185">
        <f t="shared" si="26"/>
        <v>18072.27626</v>
      </c>
      <c r="BG30" s="185">
        <f t="shared" si="26"/>
        <v>19036.94012</v>
      </c>
      <c r="BH30" s="185">
        <f t="shared" si="26"/>
        <v>19067.03301</v>
      </c>
      <c r="BI30" s="185">
        <f t="shared" si="26"/>
        <v>19097.32652</v>
      </c>
      <c r="BJ30" s="185">
        <f t="shared" si="26"/>
        <v>19127.82199</v>
      </c>
      <c r="BK30" s="185">
        <f t="shared" si="26"/>
        <v>19158.52076</v>
      </c>
      <c r="BL30" s="185">
        <f t="shared" si="26"/>
        <v>19189.42419</v>
      </c>
      <c r="BM30" s="185">
        <f t="shared" si="26"/>
        <v>19220.53364</v>
      </c>
      <c r="BN30" s="185">
        <f t="shared" si="26"/>
        <v>19251.85049</v>
      </c>
      <c r="BO30" s="185">
        <f t="shared" si="26"/>
        <v>19283.37612</v>
      </c>
      <c r="BP30" s="185">
        <f t="shared" si="26"/>
        <v>19315.11192</v>
      </c>
      <c r="BQ30" s="185">
        <f t="shared" si="26"/>
        <v>19347.05929</v>
      </c>
      <c r="BR30" s="185">
        <f t="shared" si="26"/>
        <v>19379.21964</v>
      </c>
    </row>
    <row r="31" ht="14.25" customHeight="1">
      <c r="A31" s="170"/>
      <c r="B31" s="188" t="s">
        <v>170</v>
      </c>
      <c r="C31" s="189"/>
      <c r="D31" s="189"/>
      <c r="E31" s="173">
        <f t="shared" ref="E31:I31" si="27">IFERROR(E30/E6,"")</f>
        <v>0.5715806074</v>
      </c>
      <c r="F31" s="173">
        <f t="shared" si="27"/>
        <v>0.3645396118</v>
      </c>
      <c r="G31" s="173">
        <f t="shared" si="27"/>
        <v>0.3354901873</v>
      </c>
      <c r="H31" s="173">
        <f t="shared" si="27"/>
        <v>0.3313857337</v>
      </c>
      <c r="I31" s="173">
        <f t="shared" si="27"/>
        <v>0.3280880308</v>
      </c>
      <c r="J31" s="173"/>
      <c r="K31" s="173">
        <f t="shared" ref="K31:BR31" si="28">IFERROR(K30/K6,"")</f>
        <v>0.9555187978</v>
      </c>
      <c r="L31" s="173">
        <f t="shared" si="28"/>
        <v>0.7814413983</v>
      </c>
      <c r="M31" s="173">
        <f t="shared" si="28"/>
        <v>0.7187735344</v>
      </c>
      <c r="N31" s="173">
        <f t="shared" si="28"/>
        <v>0.666805062</v>
      </c>
      <c r="O31" s="173">
        <f t="shared" si="28"/>
        <v>0.6230114054</v>
      </c>
      <c r="P31" s="173">
        <f t="shared" si="28"/>
        <v>0.5856043238</v>
      </c>
      <c r="Q31" s="173">
        <f t="shared" si="28"/>
        <v>0.5532816998</v>
      </c>
      <c r="R31" s="173">
        <f t="shared" si="28"/>
        <v>0.5250728644</v>
      </c>
      <c r="S31" s="173">
        <f t="shared" si="28"/>
        <v>0.5002394451</v>
      </c>
      <c r="T31" s="173">
        <f t="shared" si="28"/>
        <v>0.478209799</v>
      </c>
      <c r="U31" s="173">
        <f t="shared" si="28"/>
        <v>0.4585344663</v>
      </c>
      <c r="V31" s="173">
        <f t="shared" si="28"/>
        <v>0.4408551818</v>
      </c>
      <c r="W31" s="173">
        <f t="shared" si="28"/>
        <v>0.4187698426</v>
      </c>
      <c r="X31" s="173">
        <f t="shared" si="28"/>
        <v>0.4040896525</v>
      </c>
      <c r="Y31" s="173">
        <f t="shared" si="28"/>
        <v>0.3907020577</v>
      </c>
      <c r="Z31" s="173">
        <f t="shared" si="28"/>
        <v>0.3784435372</v>
      </c>
      <c r="AA31" s="173">
        <f t="shared" si="28"/>
        <v>0.3671770357</v>
      </c>
      <c r="AB31" s="173">
        <f t="shared" si="28"/>
        <v>0.3567868177</v>
      </c>
      <c r="AC31" s="173">
        <f t="shared" si="28"/>
        <v>0.3540347743</v>
      </c>
      <c r="AD31" s="173">
        <f t="shared" si="28"/>
        <v>0.3513122252</v>
      </c>
      <c r="AE31" s="173">
        <f t="shared" si="28"/>
        <v>0.3486188543</v>
      </c>
      <c r="AF31" s="173">
        <f t="shared" si="28"/>
        <v>0.3459543488</v>
      </c>
      <c r="AG31" s="173">
        <f t="shared" si="28"/>
        <v>0.3433183995</v>
      </c>
      <c r="AH31" s="173">
        <f t="shared" si="28"/>
        <v>0.3407107002</v>
      </c>
      <c r="AI31" s="173">
        <f t="shared" si="28"/>
        <v>0.3475316122</v>
      </c>
      <c r="AJ31" s="173">
        <f t="shared" si="28"/>
        <v>0.3453206071</v>
      </c>
      <c r="AK31" s="173">
        <f t="shared" si="28"/>
        <v>0.3431278748</v>
      </c>
      <c r="AL31" s="173">
        <f t="shared" si="28"/>
        <v>0.3409532643</v>
      </c>
      <c r="AM31" s="173">
        <f t="shared" si="28"/>
        <v>0.3387966257</v>
      </c>
      <c r="AN31" s="173">
        <f t="shared" si="28"/>
        <v>0.3366578106</v>
      </c>
      <c r="AO31" s="173">
        <f t="shared" si="28"/>
        <v>0.3345366717</v>
      </c>
      <c r="AP31" s="173">
        <f t="shared" si="28"/>
        <v>0.3324330628</v>
      </c>
      <c r="AQ31" s="173">
        <f t="shared" si="28"/>
        <v>0.3303468392</v>
      </c>
      <c r="AR31" s="173">
        <f t="shared" si="28"/>
        <v>0.328277857</v>
      </c>
      <c r="AS31" s="173">
        <f t="shared" si="28"/>
        <v>0.3262259739</v>
      </c>
      <c r="AT31" s="173">
        <f t="shared" si="28"/>
        <v>0.3241910485</v>
      </c>
      <c r="AU31" s="173">
        <f t="shared" si="28"/>
        <v>0.340811149</v>
      </c>
      <c r="AV31" s="173">
        <f t="shared" si="28"/>
        <v>0.3390839228</v>
      </c>
      <c r="AW31" s="173">
        <f t="shared" si="28"/>
        <v>0.3373681353</v>
      </c>
      <c r="AX31" s="173">
        <f t="shared" si="28"/>
        <v>0.3356637105</v>
      </c>
      <c r="AY31" s="173">
        <f t="shared" si="28"/>
        <v>0.3339705734</v>
      </c>
      <c r="AZ31" s="173">
        <f t="shared" si="28"/>
        <v>0.3322886491</v>
      </c>
      <c r="BA31" s="173">
        <f t="shared" si="28"/>
        <v>0.3306178633</v>
      </c>
      <c r="BB31" s="173">
        <f t="shared" si="28"/>
        <v>0.3289581423</v>
      </c>
      <c r="BC31" s="173">
        <f t="shared" si="28"/>
        <v>0.3273094129</v>
      </c>
      <c r="BD31" s="173">
        <f t="shared" si="28"/>
        <v>0.3256716022</v>
      </c>
      <c r="BE31" s="173">
        <f t="shared" si="28"/>
        <v>0.324044638</v>
      </c>
      <c r="BF31" s="173">
        <f t="shared" si="28"/>
        <v>0.3224284483</v>
      </c>
      <c r="BG31" s="173">
        <f t="shared" si="28"/>
        <v>0.3373898025</v>
      </c>
      <c r="BH31" s="173">
        <f t="shared" si="28"/>
        <v>0.3356852343</v>
      </c>
      <c r="BI31" s="173">
        <f t="shared" si="28"/>
        <v>0.3339919546</v>
      </c>
      <c r="BJ31" s="173">
        <f t="shared" si="28"/>
        <v>0.3323098887</v>
      </c>
      <c r="BK31" s="173">
        <f t="shared" si="28"/>
        <v>0.3306389623</v>
      </c>
      <c r="BL31" s="173">
        <f t="shared" si="28"/>
        <v>0.3289791016</v>
      </c>
      <c r="BM31" s="173">
        <f t="shared" si="28"/>
        <v>0.3273302334</v>
      </c>
      <c r="BN31" s="173">
        <f t="shared" si="28"/>
        <v>0.3256922848</v>
      </c>
      <c r="BO31" s="173">
        <f t="shared" si="28"/>
        <v>0.3240651836</v>
      </c>
      <c r="BP31" s="173">
        <f t="shared" si="28"/>
        <v>0.3224488579</v>
      </c>
      <c r="BQ31" s="173">
        <f t="shared" si="28"/>
        <v>0.3208432363</v>
      </c>
      <c r="BR31" s="173">
        <f t="shared" si="28"/>
        <v>0.319248248</v>
      </c>
    </row>
    <row r="32" ht="14.25" customHeight="1">
      <c r="A32" s="170"/>
      <c r="B32" s="188" t="s">
        <v>171</v>
      </c>
      <c r="C32" s="189"/>
      <c r="D32" s="189"/>
      <c r="E32" s="194" t="str">
        <f t="shared" ref="E32:I32" si="29">IFERROR(E20/E26,"")</f>
        <v/>
      </c>
      <c r="F32" s="194">
        <f t="shared" si="29"/>
        <v>3</v>
      </c>
      <c r="G32" s="194">
        <f t="shared" si="29"/>
        <v>3</v>
      </c>
      <c r="H32" s="194">
        <f t="shared" si="29"/>
        <v>3</v>
      </c>
      <c r="I32" s="194">
        <f t="shared" si="29"/>
        <v>3</v>
      </c>
      <c r="J32" s="194"/>
      <c r="K32" s="194" t="str">
        <f t="shared" ref="K32:BR32" si="30">IFERROR(K20/K26,"")</f>
        <v/>
      </c>
      <c r="L32" s="194" t="str">
        <f t="shared" si="30"/>
        <v/>
      </c>
      <c r="M32" s="194" t="str">
        <f t="shared" si="30"/>
        <v/>
      </c>
      <c r="N32" s="194" t="str">
        <f t="shared" si="30"/>
        <v/>
      </c>
      <c r="O32" s="194" t="str">
        <f t="shared" si="30"/>
        <v/>
      </c>
      <c r="P32" s="194" t="str">
        <f t="shared" si="30"/>
        <v/>
      </c>
      <c r="Q32" s="194" t="str">
        <f t="shared" si="30"/>
        <v/>
      </c>
      <c r="R32" s="194" t="str">
        <f t="shared" si="30"/>
        <v/>
      </c>
      <c r="S32" s="194" t="str">
        <f t="shared" si="30"/>
        <v/>
      </c>
      <c r="T32" s="194" t="str">
        <f t="shared" si="30"/>
        <v/>
      </c>
      <c r="U32" s="194" t="str">
        <f t="shared" si="30"/>
        <v/>
      </c>
      <c r="V32" s="194" t="str">
        <f t="shared" si="30"/>
        <v/>
      </c>
      <c r="W32" s="194">
        <f t="shared" si="30"/>
        <v>2.489629599</v>
      </c>
      <c r="X32" s="194">
        <f t="shared" si="30"/>
        <v>2.609818614</v>
      </c>
      <c r="Y32" s="194">
        <f t="shared" si="30"/>
        <v>2.730007629</v>
      </c>
      <c r="Z32" s="194">
        <f t="shared" si="30"/>
        <v>2.850196645</v>
      </c>
      <c r="AA32" s="194">
        <f t="shared" si="30"/>
        <v>2.97038566</v>
      </c>
      <c r="AB32" s="194">
        <f t="shared" si="30"/>
        <v>3.090574675</v>
      </c>
      <c r="AC32" s="194">
        <f t="shared" si="30"/>
        <v>3.1240559</v>
      </c>
      <c r="AD32" s="194">
        <f t="shared" si="30"/>
        <v>3.157899839</v>
      </c>
      <c r="AE32" s="194">
        <f t="shared" si="30"/>
        <v>3.192110421</v>
      </c>
      <c r="AF32" s="194">
        <f t="shared" si="30"/>
        <v>3.226691617</v>
      </c>
      <c r="AG32" s="194">
        <f t="shared" si="30"/>
        <v>3.261647443</v>
      </c>
      <c r="AH32" s="194">
        <f t="shared" si="30"/>
        <v>3.296981957</v>
      </c>
      <c r="AI32" s="194">
        <f t="shared" si="30"/>
        <v>2.86497194</v>
      </c>
      <c r="AJ32" s="194">
        <f t="shared" si="30"/>
        <v>2.888846706</v>
      </c>
      <c r="AK32" s="194">
        <f t="shared" si="30"/>
        <v>2.912920429</v>
      </c>
      <c r="AL32" s="194">
        <f t="shared" si="30"/>
        <v>2.937194766</v>
      </c>
      <c r="AM32" s="194">
        <f t="shared" si="30"/>
        <v>2.961671389</v>
      </c>
      <c r="AN32" s="194">
        <f t="shared" si="30"/>
        <v>2.986351984</v>
      </c>
      <c r="AO32" s="194">
        <f t="shared" si="30"/>
        <v>3.01123825</v>
      </c>
      <c r="AP32" s="194">
        <f t="shared" si="30"/>
        <v>3.036331902</v>
      </c>
      <c r="AQ32" s="194">
        <f t="shared" si="30"/>
        <v>3.061634668</v>
      </c>
      <c r="AR32" s="194">
        <f t="shared" si="30"/>
        <v>3.087148291</v>
      </c>
      <c r="AS32" s="194">
        <f t="shared" si="30"/>
        <v>3.112874526</v>
      </c>
      <c r="AT32" s="194">
        <f t="shared" si="30"/>
        <v>3.138815147</v>
      </c>
      <c r="AU32" s="194">
        <f t="shared" si="30"/>
        <v>2.891583447</v>
      </c>
      <c r="AV32" s="194">
        <f t="shared" si="30"/>
        <v>2.91086067</v>
      </c>
      <c r="AW32" s="194">
        <f t="shared" si="30"/>
        <v>2.930266408</v>
      </c>
      <c r="AX32" s="194">
        <f t="shared" si="30"/>
        <v>2.949801517</v>
      </c>
      <c r="AY32" s="194">
        <f t="shared" si="30"/>
        <v>2.969466861</v>
      </c>
      <c r="AZ32" s="194">
        <f t="shared" si="30"/>
        <v>2.989263306</v>
      </c>
      <c r="BA32" s="194">
        <f t="shared" si="30"/>
        <v>3.009191728</v>
      </c>
      <c r="BB32" s="194">
        <f t="shared" si="30"/>
        <v>3.029253007</v>
      </c>
      <c r="BC32" s="194">
        <f t="shared" si="30"/>
        <v>3.049448027</v>
      </c>
      <c r="BD32" s="194">
        <f t="shared" si="30"/>
        <v>3.06977768</v>
      </c>
      <c r="BE32" s="194">
        <f t="shared" si="30"/>
        <v>3.090242865</v>
      </c>
      <c r="BF32" s="194">
        <f t="shared" si="30"/>
        <v>3.110844484</v>
      </c>
      <c r="BG32" s="194">
        <f t="shared" si="30"/>
        <v>2.891583447</v>
      </c>
      <c r="BH32" s="194">
        <f t="shared" si="30"/>
        <v>2.91086067</v>
      </c>
      <c r="BI32" s="194">
        <f t="shared" si="30"/>
        <v>2.930266408</v>
      </c>
      <c r="BJ32" s="194">
        <f t="shared" si="30"/>
        <v>2.949801517</v>
      </c>
      <c r="BK32" s="194">
        <f t="shared" si="30"/>
        <v>2.969466861</v>
      </c>
      <c r="BL32" s="194">
        <f t="shared" si="30"/>
        <v>2.989263306</v>
      </c>
      <c r="BM32" s="194">
        <f t="shared" si="30"/>
        <v>3.009191728</v>
      </c>
      <c r="BN32" s="194">
        <f t="shared" si="30"/>
        <v>3.029253007</v>
      </c>
      <c r="BO32" s="194">
        <f t="shared" si="30"/>
        <v>3.049448027</v>
      </c>
      <c r="BP32" s="194">
        <f t="shared" si="30"/>
        <v>3.06977768</v>
      </c>
      <c r="BQ32" s="194">
        <f t="shared" si="30"/>
        <v>3.090242865</v>
      </c>
      <c r="BR32" s="194">
        <f t="shared" si="30"/>
        <v>3.110844484</v>
      </c>
    </row>
    <row r="33" ht="14.25" customHeight="1">
      <c r="A33" s="170"/>
      <c r="B33" s="191"/>
      <c r="E33" s="192">
        <f>E34-Model!E70</f>
        <v>0</v>
      </c>
      <c r="F33" s="192">
        <f>F34-Model!F70</f>
        <v>0.0000000001018634066</v>
      </c>
      <c r="G33" s="192">
        <f>G34-Model!G70</f>
        <v>0</v>
      </c>
      <c r="H33" s="192">
        <f>H34-Model!H70</f>
        <v>0</v>
      </c>
      <c r="I33" s="192">
        <f>I34-Model!I70</f>
        <v>0</v>
      </c>
      <c r="J33" s="192"/>
    </row>
    <row r="34" ht="14.25" customHeight="1">
      <c r="A34" s="170"/>
      <c r="B34" s="186" t="s">
        <v>172</v>
      </c>
      <c r="C34" s="187"/>
      <c r="D34" s="187"/>
      <c r="E34" s="193">
        <f t="shared" ref="E34:I34" si="31">E20-E30</f>
        <v>-32314.04755</v>
      </c>
      <c r="F34" s="193">
        <f t="shared" si="31"/>
        <v>48832.71601</v>
      </c>
      <c r="G34" s="193">
        <f t="shared" si="31"/>
        <v>73908.02304</v>
      </c>
      <c r="H34" s="193">
        <f t="shared" si="31"/>
        <v>83424.3532</v>
      </c>
      <c r="I34" s="193">
        <f t="shared" si="31"/>
        <v>92665.09306</v>
      </c>
      <c r="J34" s="193"/>
      <c r="K34" s="193">
        <f t="shared" ref="K34:BR34" si="32">K20-K30</f>
        <v>-6528.385833</v>
      </c>
      <c r="L34" s="193">
        <f t="shared" si="32"/>
        <v>-5332.890185</v>
      </c>
      <c r="M34" s="193">
        <f t="shared" si="32"/>
        <v>-4735.142361</v>
      </c>
      <c r="N34" s="193">
        <f t="shared" si="32"/>
        <v>-4137.394537</v>
      </c>
      <c r="O34" s="193">
        <f t="shared" si="32"/>
        <v>-3539.646713</v>
      </c>
      <c r="P34" s="193">
        <f t="shared" si="32"/>
        <v>-2941.898889</v>
      </c>
      <c r="Q34" s="193">
        <f t="shared" si="32"/>
        <v>-2344.151065</v>
      </c>
      <c r="R34" s="193">
        <f t="shared" si="32"/>
        <v>-1746.403241</v>
      </c>
      <c r="S34" s="193">
        <f t="shared" si="32"/>
        <v>-1148.655417</v>
      </c>
      <c r="T34" s="193">
        <f t="shared" si="32"/>
        <v>-550.9075926</v>
      </c>
      <c r="U34" s="193">
        <f t="shared" si="32"/>
        <v>46.84023148</v>
      </c>
      <c r="V34" s="193">
        <f t="shared" si="32"/>
        <v>644.5880556</v>
      </c>
      <c r="W34" s="193">
        <f t="shared" si="32"/>
        <v>1458.595651</v>
      </c>
      <c r="X34" s="193">
        <f t="shared" si="32"/>
        <v>2073.421984</v>
      </c>
      <c r="Y34" s="193">
        <f t="shared" si="32"/>
        <v>2688.248317</v>
      </c>
      <c r="Z34" s="193">
        <f t="shared" si="32"/>
        <v>3303.074651</v>
      </c>
      <c r="AA34" s="193">
        <f t="shared" si="32"/>
        <v>3917.900984</v>
      </c>
      <c r="AB34" s="193">
        <f t="shared" si="32"/>
        <v>4532.727317</v>
      </c>
      <c r="AC34" s="193">
        <f t="shared" si="32"/>
        <v>4704.000367</v>
      </c>
      <c r="AD34" s="193">
        <f t="shared" si="32"/>
        <v>4877.128876</v>
      </c>
      <c r="AE34" s="193">
        <f t="shared" si="32"/>
        <v>5052.132942</v>
      </c>
      <c r="AF34" s="193">
        <f t="shared" si="32"/>
        <v>5229.032887</v>
      </c>
      <c r="AG34" s="193">
        <f t="shared" si="32"/>
        <v>5407.849247</v>
      </c>
      <c r="AH34" s="193">
        <f t="shared" si="32"/>
        <v>5588.602785</v>
      </c>
      <c r="AI34" s="193">
        <f t="shared" si="32"/>
        <v>5312.957571</v>
      </c>
      <c r="AJ34" s="193">
        <f t="shared" si="32"/>
        <v>5462.549523</v>
      </c>
      <c r="AK34" s="193">
        <f t="shared" si="32"/>
        <v>5613.388074</v>
      </c>
      <c r="AL34" s="193">
        <f t="shared" si="32"/>
        <v>5765.483613</v>
      </c>
      <c r="AM34" s="193">
        <f t="shared" si="32"/>
        <v>5918.846615</v>
      </c>
      <c r="AN34" s="193">
        <f t="shared" si="32"/>
        <v>6073.487642</v>
      </c>
      <c r="AO34" s="193">
        <f t="shared" si="32"/>
        <v>6229.417345</v>
      </c>
      <c r="AP34" s="193">
        <f t="shared" si="32"/>
        <v>6386.646461</v>
      </c>
      <c r="AQ34" s="193">
        <f t="shared" si="32"/>
        <v>6545.18582</v>
      </c>
      <c r="AR34" s="193">
        <f t="shared" si="32"/>
        <v>6705.046341</v>
      </c>
      <c r="AS34" s="193">
        <f t="shared" si="32"/>
        <v>6866.239032</v>
      </c>
      <c r="AT34" s="193">
        <f t="shared" si="32"/>
        <v>7028.774996</v>
      </c>
      <c r="AU34" s="193">
        <f t="shared" si="32"/>
        <v>6209.727837</v>
      </c>
      <c r="AV34" s="193">
        <f t="shared" si="32"/>
        <v>6341.714264</v>
      </c>
      <c r="AW34" s="193">
        <f t="shared" si="32"/>
        <v>6474.5806</v>
      </c>
      <c r="AX34" s="193">
        <f t="shared" si="32"/>
        <v>6608.332711</v>
      </c>
      <c r="AY34" s="193">
        <f t="shared" si="32"/>
        <v>6742.976504</v>
      </c>
      <c r="AZ34" s="193">
        <f t="shared" si="32"/>
        <v>6878.517921</v>
      </c>
      <c r="BA34" s="193">
        <f t="shared" si="32"/>
        <v>7014.962948</v>
      </c>
      <c r="BB34" s="193">
        <f t="shared" si="32"/>
        <v>7152.317609</v>
      </c>
      <c r="BC34" s="193">
        <f t="shared" si="32"/>
        <v>7290.587967</v>
      </c>
      <c r="BD34" s="193">
        <f t="shared" si="32"/>
        <v>7429.780128</v>
      </c>
      <c r="BE34" s="193">
        <f t="shared" si="32"/>
        <v>7569.900236</v>
      </c>
      <c r="BF34" s="193">
        <f t="shared" si="32"/>
        <v>7710.954479</v>
      </c>
      <c r="BG34" s="193">
        <f t="shared" si="32"/>
        <v>6918.178825</v>
      </c>
      <c r="BH34" s="193">
        <f t="shared" si="32"/>
        <v>7061.12006</v>
      </c>
      <c r="BI34" s="193">
        <f t="shared" si="32"/>
        <v>7205.014237</v>
      </c>
      <c r="BJ34" s="193">
        <f t="shared" si="32"/>
        <v>7349.867707</v>
      </c>
      <c r="BK34" s="193">
        <f t="shared" si="32"/>
        <v>7495.686868</v>
      </c>
      <c r="BL34" s="193">
        <f t="shared" si="32"/>
        <v>7642.478157</v>
      </c>
      <c r="BM34" s="193">
        <f t="shared" si="32"/>
        <v>7790.248053</v>
      </c>
      <c r="BN34" s="193">
        <f t="shared" si="32"/>
        <v>7939.003083</v>
      </c>
      <c r="BO34" s="193">
        <f t="shared" si="32"/>
        <v>8088.749813</v>
      </c>
      <c r="BP34" s="193">
        <f t="shared" si="32"/>
        <v>8239.494854</v>
      </c>
      <c r="BQ34" s="193">
        <f t="shared" si="32"/>
        <v>8391.244863</v>
      </c>
      <c r="BR34" s="193">
        <f t="shared" si="32"/>
        <v>8544.006538</v>
      </c>
    </row>
    <row r="35" ht="14.25" customHeight="1">
      <c r="A35" s="170"/>
      <c r="B35" s="188" t="s">
        <v>170</v>
      </c>
      <c r="C35" s="189"/>
      <c r="D35" s="189"/>
      <c r="E35" s="173">
        <f t="shared" ref="E35:I35" si="33">IFERROR(E34/E6,"")</f>
        <v>-0.1115806074</v>
      </c>
      <c r="F35" s="173">
        <f t="shared" si="33"/>
        <v>0.09546038816</v>
      </c>
      <c r="G35" s="173">
        <f t="shared" si="33"/>
        <v>0.1245098127</v>
      </c>
      <c r="H35" s="173">
        <f t="shared" si="33"/>
        <v>0.1286142663</v>
      </c>
      <c r="I35" s="173">
        <f t="shared" si="33"/>
        <v>0.1319119692</v>
      </c>
      <c r="J35" s="173"/>
      <c r="K35" s="173">
        <f t="shared" ref="K35:BR35" si="34">IFERROR(K34/K6,"")</f>
        <v>-0.4955187978</v>
      </c>
      <c r="L35" s="173">
        <f t="shared" si="34"/>
        <v>-0.3214413983</v>
      </c>
      <c r="M35" s="173">
        <f t="shared" si="34"/>
        <v>-0.2587735344</v>
      </c>
      <c r="N35" s="173">
        <f t="shared" si="34"/>
        <v>-0.206805062</v>
      </c>
      <c r="O35" s="173">
        <f t="shared" si="34"/>
        <v>-0.1630114054</v>
      </c>
      <c r="P35" s="173">
        <f t="shared" si="34"/>
        <v>-0.1256043238</v>
      </c>
      <c r="Q35" s="173">
        <f t="shared" si="34"/>
        <v>-0.09328169982</v>
      </c>
      <c r="R35" s="173">
        <f t="shared" si="34"/>
        <v>-0.06507286438</v>
      </c>
      <c r="S35" s="173">
        <f t="shared" si="34"/>
        <v>-0.04023944514</v>
      </c>
      <c r="T35" s="173">
        <f t="shared" si="34"/>
        <v>-0.01820979905</v>
      </c>
      <c r="U35" s="173">
        <f t="shared" si="34"/>
        <v>0.001465533727</v>
      </c>
      <c r="V35" s="173">
        <f t="shared" si="34"/>
        <v>0.01914481825</v>
      </c>
      <c r="W35" s="173">
        <f t="shared" si="34"/>
        <v>0.04123015738</v>
      </c>
      <c r="X35" s="173">
        <f t="shared" si="34"/>
        <v>0.0559103475</v>
      </c>
      <c r="Y35" s="173">
        <f t="shared" si="34"/>
        <v>0.06929794226</v>
      </c>
      <c r="Z35" s="173">
        <f t="shared" si="34"/>
        <v>0.08155646277</v>
      </c>
      <c r="AA35" s="173">
        <f t="shared" si="34"/>
        <v>0.09282296428</v>
      </c>
      <c r="AB35" s="173">
        <f t="shared" si="34"/>
        <v>0.1032131823</v>
      </c>
      <c r="AC35" s="173">
        <f t="shared" si="34"/>
        <v>0.1059652257</v>
      </c>
      <c r="AD35" s="173">
        <f t="shared" si="34"/>
        <v>0.1086877748</v>
      </c>
      <c r="AE35" s="173">
        <f t="shared" si="34"/>
        <v>0.1113811457</v>
      </c>
      <c r="AF35" s="173">
        <f t="shared" si="34"/>
        <v>0.1140456512</v>
      </c>
      <c r="AG35" s="173">
        <f t="shared" si="34"/>
        <v>0.1166816005</v>
      </c>
      <c r="AH35" s="173">
        <f t="shared" si="34"/>
        <v>0.1192892998</v>
      </c>
      <c r="AI35" s="173">
        <f t="shared" si="34"/>
        <v>0.1124683878</v>
      </c>
      <c r="AJ35" s="173">
        <f t="shared" si="34"/>
        <v>0.1146793929</v>
      </c>
      <c r="AK35" s="173">
        <f t="shared" si="34"/>
        <v>0.1168721252</v>
      </c>
      <c r="AL35" s="173">
        <f t="shared" si="34"/>
        <v>0.1190467357</v>
      </c>
      <c r="AM35" s="173">
        <f t="shared" si="34"/>
        <v>0.1212033743</v>
      </c>
      <c r="AN35" s="173">
        <f t="shared" si="34"/>
        <v>0.1233421894</v>
      </c>
      <c r="AO35" s="173">
        <f t="shared" si="34"/>
        <v>0.1254633283</v>
      </c>
      <c r="AP35" s="173">
        <f t="shared" si="34"/>
        <v>0.1275669372</v>
      </c>
      <c r="AQ35" s="173">
        <f t="shared" si="34"/>
        <v>0.1296531608</v>
      </c>
      <c r="AR35" s="173">
        <f t="shared" si="34"/>
        <v>0.131722143</v>
      </c>
      <c r="AS35" s="173">
        <f t="shared" si="34"/>
        <v>0.1337740261</v>
      </c>
      <c r="AT35" s="173">
        <f t="shared" si="34"/>
        <v>0.1358089515</v>
      </c>
      <c r="AU35" s="173">
        <f t="shared" si="34"/>
        <v>0.119188851</v>
      </c>
      <c r="AV35" s="173">
        <f t="shared" si="34"/>
        <v>0.1209160772</v>
      </c>
      <c r="AW35" s="173">
        <f t="shared" si="34"/>
        <v>0.1226318647</v>
      </c>
      <c r="AX35" s="173">
        <f t="shared" si="34"/>
        <v>0.1243362895</v>
      </c>
      <c r="AY35" s="173">
        <f t="shared" si="34"/>
        <v>0.1260294266</v>
      </c>
      <c r="AZ35" s="173">
        <f t="shared" si="34"/>
        <v>0.1277113509</v>
      </c>
      <c r="BA35" s="173">
        <f t="shared" si="34"/>
        <v>0.1293821367</v>
      </c>
      <c r="BB35" s="173">
        <f t="shared" si="34"/>
        <v>0.1310418577</v>
      </c>
      <c r="BC35" s="173">
        <f t="shared" si="34"/>
        <v>0.1326905871</v>
      </c>
      <c r="BD35" s="173">
        <f t="shared" si="34"/>
        <v>0.1343283978</v>
      </c>
      <c r="BE35" s="173">
        <f t="shared" si="34"/>
        <v>0.135955362</v>
      </c>
      <c r="BF35" s="173">
        <f t="shared" si="34"/>
        <v>0.1375715517</v>
      </c>
      <c r="BG35" s="173">
        <f t="shared" si="34"/>
        <v>0.1226101975</v>
      </c>
      <c r="BH35" s="173">
        <f t="shared" si="34"/>
        <v>0.1243147657</v>
      </c>
      <c r="BI35" s="173">
        <f t="shared" si="34"/>
        <v>0.1260080454</v>
      </c>
      <c r="BJ35" s="173">
        <f t="shared" si="34"/>
        <v>0.1276901113</v>
      </c>
      <c r="BK35" s="173">
        <f t="shared" si="34"/>
        <v>0.1293610377</v>
      </c>
      <c r="BL35" s="173">
        <f t="shared" si="34"/>
        <v>0.1310208984</v>
      </c>
      <c r="BM35" s="173">
        <f t="shared" si="34"/>
        <v>0.1326697666</v>
      </c>
      <c r="BN35" s="173">
        <f t="shared" si="34"/>
        <v>0.1343077152</v>
      </c>
      <c r="BO35" s="173">
        <f t="shared" si="34"/>
        <v>0.1359348164</v>
      </c>
      <c r="BP35" s="173">
        <f t="shared" si="34"/>
        <v>0.1375511421</v>
      </c>
      <c r="BQ35" s="173">
        <f t="shared" si="34"/>
        <v>0.1391567637</v>
      </c>
      <c r="BR35" s="173">
        <f t="shared" si="34"/>
        <v>0.140751752</v>
      </c>
    </row>
    <row r="36" ht="14.25" customHeight="1">
      <c r="A36" s="170"/>
      <c r="B36" s="198"/>
      <c r="C36" s="199"/>
      <c r="D36" s="199"/>
      <c r="E36" s="200"/>
      <c r="F36" s="200"/>
      <c r="G36" s="200"/>
      <c r="H36" s="200"/>
      <c r="I36" s="200"/>
      <c r="J36" s="200"/>
    </row>
    <row r="37" ht="14.25" customHeight="1">
      <c r="A37" s="170"/>
      <c r="B37" s="178" t="s">
        <v>173</v>
      </c>
      <c r="C37" s="179"/>
      <c r="D37" s="179"/>
      <c r="E37" s="170">
        <f t="shared" ref="E37:I37" si="35">SUMIFS($K37:$BR37,$K$1:$BR$1,E$1)</f>
        <v>-44456.25</v>
      </c>
      <c r="F37" s="170">
        <f t="shared" si="35"/>
        <v>-44456.25</v>
      </c>
      <c r="G37" s="170">
        <f t="shared" si="35"/>
        <v>-44456.25</v>
      </c>
      <c r="H37" s="170">
        <f t="shared" si="35"/>
        <v>-44456.25</v>
      </c>
      <c r="I37" s="170">
        <f t="shared" si="35"/>
        <v>0</v>
      </c>
      <c r="J37" s="170"/>
      <c r="K37" s="170">
        <f>Model!K73</f>
        <v>-3704.6875</v>
      </c>
      <c r="L37" s="170">
        <f>Model!L73</f>
        <v>-3704.6875</v>
      </c>
      <c r="M37" s="170">
        <f>Model!M73</f>
        <v>-3704.6875</v>
      </c>
      <c r="N37" s="170">
        <f>Model!N73</f>
        <v>-3704.6875</v>
      </c>
      <c r="O37" s="170">
        <f>Model!O73</f>
        <v>-3704.6875</v>
      </c>
      <c r="P37" s="170">
        <f>Model!P73</f>
        <v>-3704.6875</v>
      </c>
      <c r="Q37" s="170">
        <f>Model!Q73</f>
        <v>-3704.6875</v>
      </c>
      <c r="R37" s="170">
        <f>Model!R73</f>
        <v>-3704.6875</v>
      </c>
      <c r="S37" s="170">
        <f>Model!S73</f>
        <v>-3704.6875</v>
      </c>
      <c r="T37" s="170">
        <f>Model!T73</f>
        <v>-3704.6875</v>
      </c>
      <c r="U37" s="170">
        <f>Model!U73</f>
        <v>-3704.6875</v>
      </c>
      <c r="V37" s="170">
        <f>Model!V73</f>
        <v>-3704.6875</v>
      </c>
      <c r="W37" s="170">
        <f>Model!W73</f>
        <v>-3704.6875</v>
      </c>
      <c r="X37" s="170">
        <f>Model!X73</f>
        <v>-3704.6875</v>
      </c>
      <c r="Y37" s="170">
        <f>Model!Y73</f>
        <v>-3704.6875</v>
      </c>
      <c r="Z37" s="170">
        <f>Model!Z73</f>
        <v>-3704.6875</v>
      </c>
      <c r="AA37" s="170">
        <f>Model!AA73</f>
        <v>-3704.6875</v>
      </c>
      <c r="AB37" s="170">
        <f>Model!AB73</f>
        <v>-3704.6875</v>
      </c>
      <c r="AC37" s="170">
        <f>Model!AC73</f>
        <v>-3704.6875</v>
      </c>
      <c r="AD37" s="170">
        <f>Model!AD73</f>
        <v>-3704.6875</v>
      </c>
      <c r="AE37" s="170">
        <f>Model!AE73</f>
        <v>-3704.6875</v>
      </c>
      <c r="AF37" s="170">
        <f>Model!AF73</f>
        <v>-3704.6875</v>
      </c>
      <c r="AG37" s="170">
        <f>Model!AG73</f>
        <v>-3704.6875</v>
      </c>
      <c r="AH37" s="170">
        <f>Model!AH73</f>
        <v>-3704.6875</v>
      </c>
      <c r="AI37" s="170">
        <f>Model!AI73</f>
        <v>-3704.6875</v>
      </c>
      <c r="AJ37" s="170">
        <f>Model!AJ73</f>
        <v>-3704.6875</v>
      </c>
      <c r="AK37" s="170">
        <f>Model!AK73</f>
        <v>-3704.6875</v>
      </c>
      <c r="AL37" s="170">
        <f>Model!AL73</f>
        <v>-3704.6875</v>
      </c>
      <c r="AM37" s="170">
        <f>Model!AM73</f>
        <v>-3704.6875</v>
      </c>
      <c r="AN37" s="170">
        <f>Model!AN73</f>
        <v>-3704.6875</v>
      </c>
      <c r="AO37" s="170">
        <f>Model!AO73</f>
        <v>-3704.6875</v>
      </c>
      <c r="AP37" s="170">
        <f>Model!AP73</f>
        <v>-3704.6875</v>
      </c>
      <c r="AQ37" s="170">
        <f>Model!AQ73</f>
        <v>-3704.6875</v>
      </c>
      <c r="AR37" s="170">
        <f>Model!AR73</f>
        <v>-3704.6875</v>
      </c>
      <c r="AS37" s="170">
        <f>Model!AS73</f>
        <v>-3704.6875</v>
      </c>
      <c r="AT37" s="170">
        <f>Model!AT73</f>
        <v>-3704.6875</v>
      </c>
      <c r="AU37" s="170">
        <f>Model!AU73</f>
        <v>-3704.6875</v>
      </c>
      <c r="AV37" s="170">
        <f>Model!AV73</f>
        <v>-3704.6875</v>
      </c>
      <c r="AW37" s="170">
        <f>Model!AW73</f>
        <v>-3704.6875</v>
      </c>
      <c r="AX37" s="170">
        <f>Model!AX73</f>
        <v>-3704.6875</v>
      </c>
      <c r="AY37" s="170">
        <f>Model!AY73</f>
        <v>-3704.6875</v>
      </c>
      <c r="AZ37" s="170">
        <f>Model!AZ73</f>
        <v>-3704.6875</v>
      </c>
      <c r="BA37" s="170">
        <f>Model!BA73</f>
        <v>-3704.6875</v>
      </c>
      <c r="BB37" s="170">
        <f>Model!BB73</f>
        <v>-3704.6875</v>
      </c>
      <c r="BC37" s="170">
        <f>Model!BC73</f>
        <v>-3704.6875</v>
      </c>
      <c r="BD37" s="170">
        <f>Model!BD73</f>
        <v>-3704.6875</v>
      </c>
      <c r="BE37" s="170">
        <f>Model!BE73</f>
        <v>-3704.6875</v>
      </c>
      <c r="BF37" s="170">
        <f>Model!BF73</f>
        <v>-3704.6875</v>
      </c>
      <c r="BG37" s="170">
        <f>Model!BG73</f>
        <v>0</v>
      </c>
      <c r="BH37" s="170">
        <f>Model!BH73</f>
        <v>0</v>
      </c>
      <c r="BI37" s="170">
        <f>Model!BI73</f>
        <v>0</v>
      </c>
      <c r="BJ37" s="170">
        <f>Model!BJ73</f>
        <v>0</v>
      </c>
      <c r="BK37" s="170">
        <f>Model!BK73</f>
        <v>0</v>
      </c>
      <c r="BL37" s="170">
        <f>Model!BL73</f>
        <v>0</v>
      </c>
      <c r="BM37" s="170">
        <f>Model!BM73</f>
        <v>0</v>
      </c>
      <c r="BN37" s="170">
        <f>Model!BN73</f>
        <v>0</v>
      </c>
      <c r="BO37" s="170">
        <f>Model!BO73</f>
        <v>0</v>
      </c>
      <c r="BP37" s="170">
        <f>Model!BP73</f>
        <v>0</v>
      </c>
      <c r="BQ37" s="170">
        <f>Model!BQ73</f>
        <v>0</v>
      </c>
      <c r="BR37" s="170">
        <f>Model!BR73</f>
        <v>0</v>
      </c>
    </row>
    <row r="38" ht="14.25" customHeight="1">
      <c r="A38" s="170"/>
      <c r="B38" s="178" t="s">
        <v>174</v>
      </c>
      <c r="C38" s="179"/>
      <c r="D38" s="179"/>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row>
    <row r="39" ht="14.25" customHeight="1">
      <c r="A39" s="170"/>
      <c r="B39" s="180" t="s">
        <v>141</v>
      </c>
      <c r="C39" s="181"/>
      <c r="D39" s="181"/>
      <c r="E39" s="201">
        <f t="shared" ref="E39:I39" si="36">SUMIFS($K39:$BR39,$K$1:$BR$1,E$1)</f>
        <v>-24089.625</v>
      </c>
      <c r="F39" s="201">
        <f t="shared" si="36"/>
        <v>-21994.875</v>
      </c>
      <c r="G39" s="201">
        <f t="shared" si="36"/>
        <v>-19900.125</v>
      </c>
      <c r="H39" s="201">
        <f t="shared" si="36"/>
        <v>-17805.375</v>
      </c>
      <c r="I39" s="201">
        <f t="shared" si="36"/>
        <v>-15710.625</v>
      </c>
      <c r="J39" s="170"/>
      <c r="K39" s="201">
        <f>Model!K76</f>
        <v>-2087.476563</v>
      </c>
      <c r="L39" s="201">
        <f>Model!L76</f>
        <v>-2072.929688</v>
      </c>
      <c r="M39" s="201">
        <f>Model!M76</f>
        <v>-2058.382813</v>
      </c>
      <c r="N39" s="201">
        <f>Model!N76</f>
        <v>-2043.835938</v>
      </c>
      <c r="O39" s="201">
        <f>Model!O76</f>
        <v>-2029.289063</v>
      </c>
      <c r="P39" s="201">
        <f>Model!P76</f>
        <v>-2014.742188</v>
      </c>
      <c r="Q39" s="201">
        <f>Model!Q76</f>
        <v>-2000.195313</v>
      </c>
      <c r="R39" s="201">
        <f>Model!R76</f>
        <v>-1985.648438</v>
      </c>
      <c r="S39" s="201">
        <f>Model!S76</f>
        <v>-1971.101563</v>
      </c>
      <c r="T39" s="201">
        <f>Model!T76</f>
        <v>-1956.554688</v>
      </c>
      <c r="U39" s="201">
        <f>Model!U76</f>
        <v>-1942.007813</v>
      </c>
      <c r="V39" s="201">
        <f>Model!V76</f>
        <v>-1927.460938</v>
      </c>
      <c r="W39" s="201">
        <f>Model!W76</f>
        <v>-1912.914063</v>
      </c>
      <c r="X39" s="201">
        <f>Model!X76</f>
        <v>-1898.367188</v>
      </c>
      <c r="Y39" s="201">
        <f>Model!Y76</f>
        <v>-1883.820313</v>
      </c>
      <c r="Z39" s="201">
        <f>Model!Z76</f>
        <v>-1869.273438</v>
      </c>
      <c r="AA39" s="201">
        <f>Model!AA76</f>
        <v>-1854.726563</v>
      </c>
      <c r="AB39" s="201">
        <f>Model!AB76</f>
        <v>-1840.179688</v>
      </c>
      <c r="AC39" s="201">
        <f>Model!AC76</f>
        <v>-1825.632813</v>
      </c>
      <c r="AD39" s="201">
        <f>Model!AD76</f>
        <v>-1811.085938</v>
      </c>
      <c r="AE39" s="201">
        <f>Model!AE76</f>
        <v>-1796.539063</v>
      </c>
      <c r="AF39" s="201">
        <f>Model!AF76</f>
        <v>-1781.992188</v>
      </c>
      <c r="AG39" s="201">
        <f>Model!AG76</f>
        <v>-1767.445313</v>
      </c>
      <c r="AH39" s="201">
        <f>Model!AH76</f>
        <v>-1752.898438</v>
      </c>
      <c r="AI39" s="201">
        <f>Model!AI76</f>
        <v>-1738.351563</v>
      </c>
      <c r="AJ39" s="201">
        <f>Model!AJ76</f>
        <v>-1723.804688</v>
      </c>
      <c r="AK39" s="201">
        <f>Model!AK76</f>
        <v>-1709.257813</v>
      </c>
      <c r="AL39" s="201">
        <f>Model!AL76</f>
        <v>-1694.710938</v>
      </c>
      <c r="AM39" s="201">
        <f>Model!AM76</f>
        <v>-1680.164063</v>
      </c>
      <c r="AN39" s="201">
        <f>Model!AN76</f>
        <v>-1665.617188</v>
      </c>
      <c r="AO39" s="201">
        <f>Model!AO76</f>
        <v>-1651.070313</v>
      </c>
      <c r="AP39" s="201">
        <f>Model!AP76</f>
        <v>-1636.523438</v>
      </c>
      <c r="AQ39" s="201">
        <f>Model!AQ76</f>
        <v>-1621.976563</v>
      </c>
      <c r="AR39" s="201">
        <f>Model!AR76</f>
        <v>-1607.429688</v>
      </c>
      <c r="AS39" s="201">
        <f>Model!AS76</f>
        <v>-1592.882813</v>
      </c>
      <c r="AT39" s="201">
        <f>Model!AT76</f>
        <v>-1578.335938</v>
      </c>
      <c r="AU39" s="201">
        <f>Model!AU76</f>
        <v>-1563.789063</v>
      </c>
      <c r="AV39" s="201">
        <f>Model!AV76</f>
        <v>-1549.242188</v>
      </c>
      <c r="AW39" s="201">
        <f>Model!AW76</f>
        <v>-1534.695313</v>
      </c>
      <c r="AX39" s="201">
        <f>Model!AX76</f>
        <v>-1520.148438</v>
      </c>
      <c r="AY39" s="201">
        <f>Model!AY76</f>
        <v>-1505.601563</v>
      </c>
      <c r="AZ39" s="201">
        <f>Model!AZ76</f>
        <v>-1491.054688</v>
      </c>
      <c r="BA39" s="201">
        <f>Model!BA76</f>
        <v>-1476.507813</v>
      </c>
      <c r="BB39" s="201">
        <f>Model!BB76</f>
        <v>-1461.960938</v>
      </c>
      <c r="BC39" s="201">
        <f>Model!BC76</f>
        <v>-1447.414063</v>
      </c>
      <c r="BD39" s="201">
        <f>Model!BD76</f>
        <v>-1432.867188</v>
      </c>
      <c r="BE39" s="201">
        <f>Model!BE76</f>
        <v>-1418.320313</v>
      </c>
      <c r="BF39" s="201">
        <f>Model!BF76</f>
        <v>-1403.773438</v>
      </c>
      <c r="BG39" s="201">
        <f>Model!BG76</f>
        <v>-1389.226563</v>
      </c>
      <c r="BH39" s="201">
        <f>Model!BH76</f>
        <v>-1374.679688</v>
      </c>
      <c r="BI39" s="201">
        <f>Model!BI76</f>
        <v>-1360.132813</v>
      </c>
      <c r="BJ39" s="201">
        <f>Model!BJ76</f>
        <v>-1345.585938</v>
      </c>
      <c r="BK39" s="201">
        <f>Model!BK76</f>
        <v>-1331.039063</v>
      </c>
      <c r="BL39" s="201">
        <f>Model!BL76</f>
        <v>-1316.492188</v>
      </c>
      <c r="BM39" s="201">
        <f>Model!BM76</f>
        <v>-1301.945313</v>
      </c>
      <c r="BN39" s="201">
        <f>Model!BN76</f>
        <v>-1287.398438</v>
      </c>
      <c r="BO39" s="201">
        <f>Model!BO76</f>
        <v>-1272.851563</v>
      </c>
      <c r="BP39" s="201">
        <f>Model!BP76</f>
        <v>-1258.304688</v>
      </c>
      <c r="BQ39" s="201">
        <f>Model!BQ76</f>
        <v>-1243.757813</v>
      </c>
      <c r="BR39" s="201">
        <f>Model!BR76</f>
        <v>-1229.210938</v>
      </c>
    </row>
    <row r="40" ht="14.25" customHeight="1">
      <c r="A40" s="170"/>
      <c r="B40" s="177"/>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row>
    <row r="41" ht="14.25" customHeight="1">
      <c r="A41" s="170"/>
      <c r="B41" s="202" t="s">
        <v>175</v>
      </c>
      <c r="C41" s="203"/>
      <c r="D41" s="203"/>
      <c r="E41" s="204">
        <f t="shared" ref="E41:I41" si="37">E34+E37+E38+E39</f>
        <v>-100859.9225</v>
      </c>
      <c r="F41" s="204">
        <f t="shared" si="37"/>
        <v>-17618.40899</v>
      </c>
      <c r="G41" s="204">
        <f t="shared" si="37"/>
        <v>9551.648035</v>
      </c>
      <c r="H41" s="204">
        <f t="shared" si="37"/>
        <v>21162.7282</v>
      </c>
      <c r="I41" s="204">
        <f t="shared" si="37"/>
        <v>76954.46806</v>
      </c>
      <c r="J41" s="170"/>
      <c r="K41" s="204">
        <f t="shared" ref="K41:BR41" si="38">K34+K37+K38+K39</f>
        <v>-12320.5499</v>
      </c>
      <c r="L41" s="204">
        <f t="shared" si="38"/>
        <v>-11110.50737</v>
      </c>
      <c r="M41" s="204">
        <f t="shared" si="38"/>
        <v>-10498.21267</v>
      </c>
      <c r="N41" s="204">
        <f t="shared" si="38"/>
        <v>-9885.917975</v>
      </c>
      <c r="O41" s="204">
        <f t="shared" si="38"/>
        <v>-9273.623275</v>
      </c>
      <c r="P41" s="204">
        <f t="shared" si="38"/>
        <v>-8661.328576</v>
      </c>
      <c r="Q41" s="204">
        <f t="shared" si="38"/>
        <v>-8049.033877</v>
      </c>
      <c r="R41" s="204">
        <f t="shared" si="38"/>
        <v>-7436.739178</v>
      </c>
      <c r="S41" s="204">
        <f t="shared" si="38"/>
        <v>-6824.444479</v>
      </c>
      <c r="T41" s="204">
        <f t="shared" si="38"/>
        <v>-6212.14978</v>
      </c>
      <c r="U41" s="204">
        <f t="shared" si="38"/>
        <v>-5599.855081</v>
      </c>
      <c r="V41" s="204">
        <f t="shared" si="38"/>
        <v>-4987.560382</v>
      </c>
      <c r="W41" s="204">
        <f t="shared" si="38"/>
        <v>-4159.005912</v>
      </c>
      <c r="X41" s="204">
        <f t="shared" si="38"/>
        <v>-3529.632703</v>
      </c>
      <c r="Y41" s="204">
        <f t="shared" si="38"/>
        <v>-2900.259495</v>
      </c>
      <c r="Z41" s="204">
        <f t="shared" si="38"/>
        <v>-2270.886287</v>
      </c>
      <c r="AA41" s="204">
        <f t="shared" si="38"/>
        <v>-1641.513078</v>
      </c>
      <c r="AB41" s="204">
        <f t="shared" si="38"/>
        <v>-1012.13987</v>
      </c>
      <c r="AC41" s="204">
        <f t="shared" si="38"/>
        <v>-826.319945</v>
      </c>
      <c r="AD41" s="204">
        <f t="shared" si="38"/>
        <v>-638.644562</v>
      </c>
      <c r="AE41" s="204">
        <f t="shared" si="38"/>
        <v>-449.0936201</v>
      </c>
      <c r="AF41" s="204">
        <f t="shared" si="38"/>
        <v>-257.6468008</v>
      </c>
      <c r="AG41" s="204">
        <f t="shared" si="38"/>
        <v>-64.28356552</v>
      </c>
      <c r="AH41" s="204">
        <f t="shared" si="38"/>
        <v>131.0168471</v>
      </c>
      <c r="AI41" s="204">
        <f t="shared" si="38"/>
        <v>-130.0814913</v>
      </c>
      <c r="AJ41" s="204">
        <f t="shared" si="38"/>
        <v>34.05733537</v>
      </c>
      <c r="AK41" s="204">
        <f t="shared" si="38"/>
        <v>199.4427617</v>
      </c>
      <c r="AL41" s="204">
        <f t="shared" si="38"/>
        <v>366.0851759</v>
      </c>
      <c r="AM41" s="204">
        <f t="shared" si="38"/>
        <v>533.9950529</v>
      </c>
      <c r="AN41" s="204">
        <f t="shared" si="38"/>
        <v>703.182955</v>
      </c>
      <c r="AO41" s="204">
        <f t="shared" si="38"/>
        <v>873.6595323</v>
      </c>
      <c r="AP41" s="204">
        <f t="shared" si="38"/>
        <v>1045.435524</v>
      </c>
      <c r="AQ41" s="204">
        <f t="shared" si="38"/>
        <v>1218.521758</v>
      </c>
      <c r="AR41" s="204">
        <f t="shared" si="38"/>
        <v>1392.929153</v>
      </c>
      <c r="AS41" s="204">
        <f t="shared" si="38"/>
        <v>1568.66872</v>
      </c>
      <c r="AT41" s="204">
        <f t="shared" si="38"/>
        <v>1745.751559</v>
      </c>
      <c r="AU41" s="204">
        <f t="shared" si="38"/>
        <v>941.2512748</v>
      </c>
      <c r="AV41" s="204">
        <f t="shared" si="38"/>
        <v>1087.784576</v>
      </c>
      <c r="AW41" s="204">
        <f t="shared" si="38"/>
        <v>1235.197787</v>
      </c>
      <c r="AX41" s="204">
        <f t="shared" si="38"/>
        <v>1383.496774</v>
      </c>
      <c r="AY41" s="204">
        <f t="shared" si="38"/>
        <v>1532.687441</v>
      </c>
      <c r="AZ41" s="204">
        <f t="shared" si="38"/>
        <v>1682.775734</v>
      </c>
      <c r="BA41" s="204">
        <f t="shared" si="38"/>
        <v>1833.767636</v>
      </c>
      <c r="BB41" s="204">
        <f t="shared" si="38"/>
        <v>1985.669171</v>
      </c>
      <c r="BC41" s="204">
        <f t="shared" si="38"/>
        <v>2138.486405</v>
      </c>
      <c r="BD41" s="204">
        <f t="shared" si="38"/>
        <v>2292.22544</v>
      </c>
      <c r="BE41" s="204">
        <f t="shared" si="38"/>
        <v>2446.892424</v>
      </c>
      <c r="BF41" s="204">
        <f t="shared" si="38"/>
        <v>2602.493541</v>
      </c>
      <c r="BG41" s="204">
        <f t="shared" si="38"/>
        <v>5528.952263</v>
      </c>
      <c r="BH41" s="204">
        <f t="shared" si="38"/>
        <v>5686.440373</v>
      </c>
      <c r="BI41" s="204">
        <f t="shared" si="38"/>
        <v>5844.881424</v>
      </c>
      <c r="BJ41" s="204">
        <f t="shared" si="38"/>
        <v>6004.28177</v>
      </c>
      <c r="BK41" s="204">
        <f t="shared" si="38"/>
        <v>6164.647806</v>
      </c>
      <c r="BL41" s="204">
        <f t="shared" si="38"/>
        <v>6325.985969</v>
      </c>
      <c r="BM41" s="204">
        <f t="shared" si="38"/>
        <v>6488.302741</v>
      </c>
      <c r="BN41" s="204">
        <f t="shared" si="38"/>
        <v>6651.604646</v>
      </c>
      <c r="BO41" s="204">
        <f t="shared" si="38"/>
        <v>6815.89825</v>
      </c>
      <c r="BP41" s="204">
        <f t="shared" si="38"/>
        <v>6981.190167</v>
      </c>
      <c r="BQ41" s="204">
        <f t="shared" si="38"/>
        <v>7147.48705</v>
      </c>
      <c r="BR41" s="204">
        <f t="shared" si="38"/>
        <v>7314.7956</v>
      </c>
    </row>
    <row r="42" ht="14.25" customHeight="1">
      <c r="A42" s="170"/>
      <c r="B42" s="188" t="s">
        <v>176</v>
      </c>
      <c r="C42" s="189"/>
      <c r="D42" s="189"/>
      <c r="E42" s="205">
        <f t="shared" ref="E42:I42" si="39">E41/E6</f>
        <v>-0.3482699406</v>
      </c>
      <c r="F42" s="205">
        <f t="shared" si="39"/>
        <v>-0.0344412578</v>
      </c>
      <c r="G42" s="205">
        <f t="shared" si="39"/>
        <v>0.01609126938</v>
      </c>
      <c r="H42" s="205">
        <f t="shared" si="39"/>
        <v>0.03262630941</v>
      </c>
      <c r="I42" s="205">
        <f t="shared" si="39"/>
        <v>0.1095473504</v>
      </c>
      <c r="J42" s="170"/>
      <c r="K42" s="205">
        <f t="shared" ref="K42:BR42" si="40">K41/K6</f>
        <v>-0.9351567491</v>
      </c>
      <c r="L42" s="205">
        <f t="shared" si="40"/>
        <v>-0.6696888369</v>
      </c>
      <c r="M42" s="205">
        <f t="shared" si="40"/>
        <v>-0.5737228982</v>
      </c>
      <c r="N42" s="205">
        <f t="shared" si="40"/>
        <v>-0.494141388</v>
      </c>
      <c r="O42" s="205">
        <f t="shared" si="40"/>
        <v>-0.4270783177</v>
      </c>
      <c r="P42" s="205">
        <f t="shared" si="40"/>
        <v>-0.3697952784</v>
      </c>
      <c r="Q42" s="205">
        <f t="shared" si="40"/>
        <v>-0.3202982834</v>
      </c>
      <c r="R42" s="205">
        <f t="shared" si="40"/>
        <v>-0.2771009058</v>
      </c>
      <c r="S42" s="205">
        <f t="shared" si="40"/>
        <v>-0.2390724453</v>
      </c>
      <c r="T42" s="205">
        <f t="shared" si="40"/>
        <v>-0.2053375206</v>
      </c>
      <c r="U42" s="205">
        <f t="shared" si="40"/>
        <v>-0.175207855</v>
      </c>
      <c r="V42" s="205">
        <f t="shared" si="40"/>
        <v>-0.1481348222</v>
      </c>
      <c r="W42" s="205">
        <f t="shared" si="40"/>
        <v>-0.1175627174</v>
      </c>
      <c r="X42" s="205">
        <f t="shared" si="40"/>
        <v>-0.09517743735</v>
      </c>
      <c r="Y42" s="205">
        <f t="shared" si="40"/>
        <v>-0.07476318825</v>
      </c>
      <c r="Z42" s="205">
        <f t="shared" si="40"/>
        <v>-0.05607062282</v>
      </c>
      <c r="AA42" s="205">
        <f t="shared" si="40"/>
        <v>-0.03889075054</v>
      </c>
      <c r="AB42" s="205">
        <f t="shared" si="40"/>
        <v>-0.02304709056</v>
      </c>
      <c r="AC42" s="205">
        <f t="shared" si="40"/>
        <v>-0.01861419487</v>
      </c>
      <c r="AD42" s="205">
        <f t="shared" si="40"/>
        <v>-0.01423231949</v>
      </c>
      <c r="AE42" s="205">
        <f t="shared" si="40"/>
        <v>-0.00990087999</v>
      </c>
      <c r="AF42" s="205">
        <f t="shared" si="40"/>
        <v>-0.0056192986</v>
      </c>
      <c r="AG42" s="205">
        <f t="shared" si="40"/>
        <v>-0.001387004143</v>
      </c>
      <c r="AH42" s="205">
        <f t="shared" si="40"/>
        <v>0.002796568041</v>
      </c>
      <c r="AI42" s="205">
        <f t="shared" si="40"/>
        <v>-0.002753655647</v>
      </c>
      <c r="AJ42" s="205">
        <f t="shared" si="40"/>
        <v>0.0007149911462</v>
      </c>
      <c r="AK42" s="205">
        <f t="shared" si="40"/>
        <v>0.004152447524</v>
      </c>
      <c r="AL42" s="205">
        <f t="shared" si="40"/>
        <v>0.007558992118</v>
      </c>
      <c r="AM42" s="205">
        <f t="shared" si="40"/>
        <v>0.01093490108</v>
      </c>
      <c r="AN42" s="205">
        <f t="shared" si="40"/>
        <v>0.01428044812</v>
      </c>
      <c r="AO42" s="205">
        <f t="shared" si="40"/>
        <v>0.01759590451</v>
      </c>
      <c r="AP42" s="205">
        <f t="shared" si="40"/>
        <v>0.02088153909</v>
      </c>
      <c r="AQ42" s="205">
        <f t="shared" si="40"/>
        <v>0.02413761836</v>
      </c>
      <c r="AR42" s="205">
        <f t="shared" si="40"/>
        <v>0.02736440641</v>
      </c>
      <c r="AS42" s="205">
        <f t="shared" si="40"/>
        <v>0.030562165</v>
      </c>
      <c r="AT42" s="205">
        <f t="shared" si="40"/>
        <v>0.03373115356</v>
      </c>
      <c r="AU42" s="205">
        <f t="shared" si="40"/>
        <v>0.01806627615</v>
      </c>
      <c r="AV42" s="205">
        <f t="shared" si="40"/>
        <v>0.02074055031</v>
      </c>
      <c r="AW42" s="205">
        <f t="shared" si="40"/>
        <v>0.02339527721</v>
      </c>
      <c r="AX42" s="205">
        <f t="shared" si="40"/>
        <v>0.02603059847</v>
      </c>
      <c r="AY42" s="205">
        <f t="shared" si="40"/>
        <v>0.02864665468</v>
      </c>
      <c r="AZ42" s="205">
        <f t="shared" si="40"/>
        <v>0.03124358543</v>
      </c>
      <c r="BA42" s="205">
        <f t="shared" si="40"/>
        <v>0.03382152931</v>
      </c>
      <c r="BB42" s="205">
        <f t="shared" si="40"/>
        <v>0.03638062389</v>
      </c>
      <c r="BC42" s="205">
        <f t="shared" si="40"/>
        <v>0.03892100579</v>
      </c>
      <c r="BD42" s="205">
        <f t="shared" si="40"/>
        <v>0.04144281061</v>
      </c>
      <c r="BE42" s="205">
        <f t="shared" si="40"/>
        <v>0.04394617299</v>
      </c>
      <c r="BF42" s="205">
        <f t="shared" si="40"/>
        <v>0.04643122659</v>
      </c>
      <c r="BG42" s="205">
        <f t="shared" si="40"/>
        <v>0.09798907283</v>
      </c>
      <c r="BH42" s="205">
        <f t="shared" si="40"/>
        <v>0.1001128003</v>
      </c>
      <c r="BI42" s="205">
        <f t="shared" si="40"/>
        <v>0.1022207673</v>
      </c>
      <c r="BJ42" s="205">
        <f t="shared" si="40"/>
        <v>0.1043130895</v>
      </c>
      <c r="BK42" s="205">
        <f t="shared" si="40"/>
        <v>0.1063898815</v>
      </c>
      <c r="BL42" s="205">
        <f t="shared" si="40"/>
        <v>0.1084512573</v>
      </c>
      <c r="BM42" s="205">
        <f t="shared" si="40"/>
        <v>0.1104973301</v>
      </c>
      <c r="BN42" s="205">
        <f t="shared" si="40"/>
        <v>0.1125282121</v>
      </c>
      <c r="BO42" s="205">
        <f t="shared" si="40"/>
        <v>0.1145440147</v>
      </c>
      <c r="BP42" s="205">
        <f t="shared" si="40"/>
        <v>0.1165448487</v>
      </c>
      <c r="BQ42" s="205">
        <f t="shared" si="40"/>
        <v>0.1185308238</v>
      </c>
      <c r="BR42" s="205">
        <f t="shared" si="40"/>
        <v>0.1205020492</v>
      </c>
    </row>
    <row r="43" ht="14.25" customHeight="1">
      <c r="A43" s="170"/>
      <c r="B43" s="188" t="s">
        <v>177</v>
      </c>
      <c r="C43" s="189"/>
      <c r="D43" s="189"/>
      <c r="E43" s="205">
        <f t="shared" ref="E43:I43" si="41">E41/E14</f>
        <v>-0.5709343289</v>
      </c>
      <c r="F43" s="205">
        <f t="shared" si="41"/>
        <v>-0.05646107836</v>
      </c>
      <c r="G43" s="205">
        <f t="shared" si="41"/>
        <v>0.02637913012</v>
      </c>
      <c r="H43" s="205">
        <f t="shared" si="41"/>
        <v>0.05348575313</v>
      </c>
      <c r="I43" s="205">
        <f t="shared" si="41"/>
        <v>0.1795858203</v>
      </c>
      <c r="J43" s="170"/>
      <c r="K43" s="205">
        <f t="shared" ref="K43:BR43" si="42">K41/K14</f>
        <v>-1.533043851</v>
      </c>
      <c r="L43" s="205">
        <f t="shared" si="42"/>
        <v>-1.097850552</v>
      </c>
      <c r="M43" s="205">
        <f t="shared" si="42"/>
        <v>-0.9405293413</v>
      </c>
      <c r="N43" s="205">
        <f t="shared" si="42"/>
        <v>-0.8100678492</v>
      </c>
      <c r="O43" s="205">
        <f t="shared" si="42"/>
        <v>-0.7001283897</v>
      </c>
      <c r="P43" s="205">
        <f t="shared" si="42"/>
        <v>-0.6062217679</v>
      </c>
      <c r="Q43" s="205">
        <f t="shared" si="42"/>
        <v>-0.5250791531</v>
      </c>
      <c r="R43" s="205">
        <f t="shared" si="42"/>
        <v>-0.4542637801</v>
      </c>
      <c r="S43" s="205">
        <f t="shared" si="42"/>
        <v>-0.3919220415</v>
      </c>
      <c r="T43" s="205">
        <f t="shared" si="42"/>
        <v>-0.3366188862</v>
      </c>
      <c r="U43" s="205">
        <f t="shared" si="42"/>
        <v>-0.2872259919</v>
      </c>
      <c r="V43" s="205">
        <f t="shared" si="42"/>
        <v>-0.2428439708</v>
      </c>
      <c r="W43" s="205">
        <f t="shared" si="42"/>
        <v>-0.1927257662</v>
      </c>
      <c r="X43" s="205">
        <f t="shared" si="42"/>
        <v>-0.1560285858</v>
      </c>
      <c r="Y43" s="205">
        <f t="shared" si="42"/>
        <v>-0.1225626037</v>
      </c>
      <c r="Z43" s="205">
        <f t="shared" si="42"/>
        <v>-0.0919190538</v>
      </c>
      <c r="AA43" s="205">
        <f t="shared" si="42"/>
        <v>-0.06375532876</v>
      </c>
      <c r="AB43" s="205">
        <f t="shared" si="42"/>
        <v>-0.03778211567</v>
      </c>
      <c r="AC43" s="205">
        <f t="shared" si="42"/>
        <v>-0.03051507355</v>
      </c>
      <c r="AD43" s="205">
        <f t="shared" si="42"/>
        <v>-0.02333167129</v>
      </c>
      <c r="AE43" s="205">
        <f t="shared" si="42"/>
        <v>-0.0162309508</v>
      </c>
      <c r="AF43" s="205">
        <f t="shared" si="42"/>
        <v>-0.009211964918</v>
      </c>
      <c r="AG43" s="205">
        <f t="shared" si="42"/>
        <v>-0.002273777284</v>
      </c>
      <c r="AH43" s="205">
        <f t="shared" si="42"/>
        <v>0.004584537773</v>
      </c>
      <c r="AI43" s="205">
        <f t="shared" si="42"/>
        <v>-0.004514189585</v>
      </c>
      <c r="AJ43" s="205">
        <f t="shared" si="42"/>
        <v>0.001172116633</v>
      </c>
      <c r="AK43" s="205">
        <f t="shared" si="42"/>
        <v>0.006807291023</v>
      </c>
      <c r="AL43" s="205">
        <f t="shared" si="42"/>
        <v>0.01239179036</v>
      </c>
      <c r="AM43" s="205">
        <f t="shared" si="42"/>
        <v>0.01792606735</v>
      </c>
      <c r="AN43" s="205">
        <f t="shared" si="42"/>
        <v>0.02341057069</v>
      </c>
      <c r="AO43" s="205">
        <f t="shared" si="42"/>
        <v>0.02884574509</v>
      </c>
      <c r="AP43" s="205">
        <f t="shared" si="42"/>
        <v>0.0342320313</v>
      </c>
      <c r="AQ43" s="205">
        <f t="shared" si="42"/>
        <v>0.03956986616</v>
      </c>
      <c r="AR43" s="205">
        <f t="shared" si="42"/>
        <v>0.04485968264</v>
      </c>
      <c r="AS43" s="205">
        <f t="shared" si="42"/>
        <v>0.05010190983</v>
      </c>
      <c r="AT43" s="205">
        <f t="shared" si="42"/>
        <v>0.05529697305</v>
      </c>
      <c r="AU43" s="205">
        <f t="shared" si="42"/>
        <v>0.02961684615</v>
      </c>
      <c r="AV43" s="205">
        <f t="shared" si="42"/>
        <v>0.03400090215</v>
      </c>
      <c r="AW43" s="205">
        <f t="shared" si="42"/>
        <v>0.03835291346</v>
      </c>
      <c r="AX43" s="205">
        <f t="shared" si="42"/>
        <v>0.04267311224</v>
      </c>
      <c r="AY43" s="205">
        <f t="shared" si="42"/>
        <v>0.04696172898</v>
      </c>
      <c r="AZ43" s="205">
        <f t="shared" si="42"/>
        <v>0.05121899251</v>
      </c>
      <c r="BA43" s="205">
        <f t="shared" si="42"/>
        <v>0.05544513001</v>
      </c>
      <c r="BB43" s="205">
        <f t="shared" si="42"/>
        <v>0.05964036704</v>
      </c>
      <c r="BC43" s="205">
        <f t="shared" si="42"/>
        <v>0.06380492752</v>
      </c>
      <c r="BD43" s="205">
        <f t="shared" si="42"/>
        <v>0.06793903378</v>
      </c>
      <c r="BE43" s="205">
        <f t="shared" si="42"/>
        <v>0.07204290653</v>
      </c>
      <c r="BF43" s="205">
        <f t="shared" si="42"/>
        <v>0.07611676491</v>
      </c>
      <c r="BG43" s="205">
        <f t="shared" si="42"/>
        <v>0.1606378243</v>
      </c>
      <c r="BH43" s="205">
        <f t="shared" si="42"/>
        <v>0.1641193448</v>
      </c>
      <c r="BI43" s="205">
        <f t="shared" si="42"/>
        <v>0.1675750284</v>
      </c>
      <c r="BJ43" s="205">
        <f t="shared" si="42"/>
        <v>0.1710050647</v>
      </c>
      <c r="BK43" s="205">
        <f t="shared" si="42"/>
        <v>0.1744096418</v>
      </c>
      <c r="BL43" s="205">
        <f t="shared" si="42"/>
        <v>0.1777889464</v>
      </c>
      <c r="BM43" s="205">
        <f t="shared" si="42"/>
        <v>0.1811431641</v>
      </c>
      <c r="BN43" s="205">
        <f t="shared" si="42"/>
        <v>0.1844724788</v>
      </c>
      <c r="BO43" s="205">
        <f t="shared" si="42"/>
        <v>0.1877770733</v>
      </c>
      <c r="BP43" s="205">
        <f t="shared" si="42"/>
        <v>0.191057129</v>
      </c>
      <c r="BQ43" s="205">
        <f t="shared" si="42"/>
        <v>0.194312826</v>
      </c>
      <c r="BR43" s="205">
        <f t="shared" si="42"/>
        <v>0.197544343</v>
      </c>
    </row>
    <row r="44" ht="14.25" customHeight="1">
      <c r="A44" s="170"/>
      <c r="B44" s="191"/>
      <c r="E44" s="192"/>
      <c r="F44" s="192"/>
      <c r="G44" s="192"/>
      <c r="H44" s="192"/>
      <c r="I44" s="192"/>
      <c r="J44" s="170"/>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row>
    <row r="45" ht="14.25" customHeight="1">
      <c r="A45" s="170"/>
      <c r="B45" s="206" t="s">
        <v>178</v>
      </c>
      <c r="C45" s="25"/>
      <c r="D45" s="25"/>
      <c r="E45" s="207">
        <f t="shared" ref="E45:I45" si="43">INDEX($K45:$BR45,,MATCH(E$1,$K$1:$BR$1,0))</f>
        <v>0.15</v>
      </c>
      <c r="F45" s="207">
        <f t="shared" si="43"/>
        <v>0.15</v>
      </c>
      <c r="G45" s="207">
        <f t="shared" si="43"/>
        <v>0.15</v>
      </c>
      <c r="H45" s="207">
        <f t="shared" si="43"/>
        <v>0.15</v>
      </c>
      <c r="I45" s="207">
        <f t="shared" si="43"/>
        <v>0.15</v>
      </c>
      <c r="J45" s="170"/>
      <c r="K45" s="207">
        <f t="array" ref="K45">INDEX(Pre_Tax_Profit_Target,K$1)</f>
        <v>0.15</v>
      </c>
      <c r="L45" s="207">
        <f t="array" ref="L45">INDEX(Pre_Tax_Profit_Target,L$1)</f>
        <v>0.15</v>
      </c>
      <c r="M45" s="207">
        <f t="array" ref="M45">INDEX(Pre_Tax_Profit_Target,M$1)</f>
        <v>0.15</v>
      </c>
      <c r="N45" s="207">
        <f t="array" ref="N45">INDEX(Pre_Tax_Profit_Target,N$1)</f>
        <v>0.15</v>
      </c>
      <c r="O45" s="207">
        <f t="array" ref="O45">INDEX(Pre_Tax_Profit_Target,O$1)</f>
        <v>0.15</v>
      </c>
      <c r="P45" s="207">
        <f t="array" ref="P45">INDEX(Pre_Tax_Profit_Target,P$1)</f>
        <v>0.15</v>
      </c>
      <c r="Q45" s="207">
        <f t="array" ref="Q45">INDEX(Pre_Tax_Profit_Target,Q$1)</f>
        <v>0.15</v>
      </c>
      <c r="R45" s="207">
        <f t="array" ref="R45">INDEX(Pre_Tax_Profit_Target,R$1)</f>
        <v>0.15</v>
      </c>
      <c r="S45" s="207">
        <f t="array" ref="S45">INDEX(Pre_Tax_Profit_Target,S$1)</f>
        <v>0.15</v>
      </c>
      <c r="T45" s="207">
        <f t="array" ref="T45">INDEX(Pre_Tax_Profit_Target,T$1)</f>
        <v>0.15</v>
      </c>
      <c r="U45" s="207">
        <f t="array" ref="U45">INDEX(Pre_Tax_Profit_Target,U$1)</f>
        <v>0.15</v>
      </c>
      <c r="V45" s="207">
        <f t="array" ref="V45">INDEX(Pre_Tax_Profit_Target,V$1)</f>
        <v>0.15</v>
      </c>
      <c r="W45" s="207">
        <f t="array" ref="W45">INDEX(Pre_Tax_Profit_Target,W$1)</f>
        <v>0.15</v>
      </c>
      <c r="X45" s="207">
        <f t="array" ref="X45">INDEX(Pre_Tax_Profit_Target,X$1)</f>
        <v>0.15</v>
      </c>
      <c r="Y45" s="207">
        <f t="array" ref="Y45">INDEX(Pre_Tax_Profit_Target,Y$1)</f>
        <v>0.15</v>
      </c>
      <c r="Z45" s="207">
        <f t="array" ref="Z45">INDEX(Pre_Tax_Profit_Target,Z$1)</f>
        <v>0.15</v>
      </c>
      <c r="AA45" s="207">
        <f t="array" ref="AA45">INDEX(Pre_Tax_Profit_Target,AA$1)</f>
        <v>0.15</v>
      </c>
      <c r="AB45" s="207">
        <f t="array" ref="AB45">INDEX(Pre_Tax_Profit_Target,AB$1)</f>
        <v>0.15</v>
      </c>
      <c r="AC45" s="207">
        <f t="array" ref="AC45">INDEX(Pre_Tax_Profit_Target,AC$1)</f>
        <v>0.15</v>
      </c>
      <c r="AD45" s="207">
        <f t="array" ref="AD45">INDEX(Pre_Tax_Profit_Target,AD$1)</f>
        <v>0.15</v>
      </c>
      <c r="AE45" s="207">
        <f t="array" ref="AE45">INDEX(Pre_Tax_Profit_Target,AE$1)</f>
        <v>0.15</v>
      </c>
      <c r="AF45" s="207">
        <f t="array" ref="AF45">INDEX(Pre_Tax_Profit_Target,AF$1)</f>
        <v>0.15</v>
      </c>
      <c r="AG45" s="207">
        <f t="array" ref="AG45">INDEX(Pre_Tax_Profit_Target,AG$1)</f>
        <v>0.15</v>
      </c>
      <c r="AH45" s="207">
        <f t="array" ref="AH45">INDEX(Pre_Tax_Profit_Target,AH$1)</f>
        <v>0.15</v>
      </c>
      <c r="AI45" s="207">
        <f t="array" ref="AI45">INDEX(Pre_Tax_Profit_Target,AI$1)</f>
        <v>0.15</v>
      </c>
      <c r="AJ45" s="207">
        <f t="array" ref="AJ45">INDEX(Pre_Tax_Profit_Target,AJ$1)</f>
        <v>0.15</v>
      </c>
      <c r="AK45" s="207">
        <f t="array" ref="AK45">INDEX(Pre_Tax_Profit_Target,AK$1)</f>
        <v>0.15</v>
      </c>
      <c r="AL45" s="207">
        <f t="array" ref="AL45">INDEX(Pre_Tax_Profit_Target,AL$1)</f>
        <v>0.15</v>
      </c>
      <c r="AM45" s="207">
        <f t="array" ref="AM45">INDEX(Pre_Tax_Profit_Target,AM$1)</f>
        <v>0.15</v>
      </c>
      <c r="AN45" s="207">
        <f t="array" ref="AN45">INDEX(Pre_Tax_Profit_Target,AN$1)</f>
        <v>0.15</v>
      </c>
      <c r="AO45" s="207">
        <f t="array" ref="AO45">INDEX(Pre_Tax_Profit_Target,AO$1)</f>
        <v>0.15</v>
      </c>
      <c r="AP45" s="207">
        <f t="array" ref="AP45">INDEX(Pre_Tax_Profit_Target,AP$1)</f>
        <v>0.15</v>
      </c>
      <c r="AQ45" s="207">
        <f t="array" ref="AQ45">INDEX(Pre_Tax_Profit_Target,AQ$1)</f>
        <v>0.15</v>
      </c>
      <c r="AR45" s="207">
        <f t="array" ref="AR45">INDEX(Pre_Tax_Profit_Target,AR$1)</f>
        <v>0.15</v>
      </c>
      <c r="AS45" s="207">
        <f t="array" ref="AS45">INDEX(Pre_Tax_Profit_Target,AS$1)</f>
        <v>0.15</v>
      </c>
      <c r="AT45" s="207">
        <f t="array" ref="AT45">INDEX(Pre_Tax_Profit_Target,AT$1)</f>
        <v>0.15</v>
      </c>
      <c r="AU45" s="207">
        <f t="array" ref="AU45">INDEX(Pre_Tax_Profit_Target,AU$1)</f>
        <v>0.15</v>
      </c>
      <c r="AV45" s="207">
        <f t="array" ref="AV45">INDEX(Pre_Tax_Profit_Target,AV$1)</f>
        <v>0.15</v>
      </c>
      <c r="AW45" s="207">
        <f t="array" ref="AW45">INDEX(Pre_Tax_Profit_Target,AW$1)</f>
        <v>0.15</v>
      </c>
      <c r="AX45" s="207">
        <f t="array" ref="AX45">INDEX(Pre_Tax_Profit_Target,AX$1)</f>
        <v>0.15</v>
      </c>
      <c r="AY45" s="207">
        <f t="array" ref="AY45">INDEX(Pre_Tax_Profit_Target,AY$1)</f>
        <v>0.15</v>
      </c>
      <c r="AZ45" s="207">
        <f t="array" ref="AZ45">INDEX(Pre_Tax_Profit_Target,AZ$1)</f>
        <v>0.15</v>
      </c>
      <c r="BA45" s="207">
        <f t="array" ref="BA45">INDEX(Pre_Tax_Profit_Target,BA$1)</f>
        <v>0.15</v>
      </c>
      <c r="BB45" s="207">
        <f t="array" ref="BB45">INDEX(Pre_Tax_Profit_Target,BB$1)</f>
        <v>0.15</v>
      </c>
      <c r="BC45" s="207">
        <f t="array" ref="BC45">INDEX(Pre_Tax_Profit_Target,BC$1)</f>
        <v>0.15</v>
      </c>
      <c r="BD45" s="207">
        <f t="array" ref="BD45">INDEX(Pre_Tax_Profit_Target,BD$1)</f>
        <v>0.15</v>
      </c>
      <c r="BE45" s="207">
        <f t="array" ref="BE45">INDEX(Pre_Tax_Profit_Target,BE$1)</f>
        <v>0.15</v>
      </c>
      <c r="BF45" s="207">
        <f t="array" ref="BF45">INDEX(Pre_Tax_Profit_Target,BF$1)</f>
        <v>0.15</v>
      </c>
      <c r="BG45" s="207">
        <f t="array" ref="BG45">INDEX(Pre_Tax_Profit_Target,BG$1)</f>
        <v>0.15</v>
      </c>
      <c r="BH45" s="207">
        <f t="array" ref="BH45">INDEX(Pre_Tax_Profit_Target,BH$1)</f>
        <v>0.15</v>
      </c>
      <c r="BI45" s="207">
        <f t="array" ref="BI45">INDEX(Pre_Tax_Profit_Target,BI$1)</f>
        <v>0.15</v>
      </c>
      <c r="BJ45" s="207">
        <f t="array" ref="BJ45">INDEX(Pre_Tax_Profit_Target,BJ$1)</f>
        <v>0.15</v>
      </c>
      <c r="BK45" s="207">
        <f t="array" ref="BK45">INDEX(Pre_Tax_Profit_Target,BK$1)</f>
        <v>0.15</v>
      </c>
      <c r="BL45" s="207">
        <f t="array" ref="BL45">INDEX(Pre_Tax_Profit_Target,BL$1)</f>
        <v>0.15</v>
      </c>
      <c r="BM45" s="207">
        <f t="array" ref="BM45">INDEX(Pre_Tax_Profit_Target,BM$1)</f>
        <v>0.15</v>
      </c>
      <c r="BN45" s="207">
        <f t="array" ref="BN45">INDEX(Pre_Tax_Profit_Target,BN$1)</f>
        <v>0.15</v>
      </c>
      <c r="BO45" s="207">
        <f t="array" ref="BO45">INDEX(Pre_Tax_Profit_Target,BO$1)</f>
        <v>0.15</v>
      </c>
      <c r="BP45" s="207">
        <f t="array" ref="BP45">INDEX(Pre_Tax_Profit_Target,BP$1)</f>
        <v>0.15</v>
      </c>
      <c r="BQ45" s="207">
        <f t="array" ref="BQ45">INDEX(Pre_Tax_Profit_Target,BQ$1)</f>
        <v>0.15</v>
      </c>
      <c r="BR45" s="207">
        <f t="array" ref="BR45">INDEX(Pre_Tax_Profit_Target,BR$1)</f>
        <v>0.15</v>
      </c>
    </row>
    <row r="46" ht="14.25" customHeight="1">
      <c r="A46" s="170"/>
      <c r="B46" s="178" t="s">
        <v>179</v>
      </c>
      <c r="C46" s="179"/>
      <c r="D46" s="179"/>
      <c r="E46" s="170">
        <f t="shared" ref="E46:I46" si="44">E45*E6</f>
        <v>43440.40819</v>
      </c>
      <c r="F46" s="170">
        <f t="shared" si="44"/>
        <v>76732.42842</v>
      </c>
      <c r="G46" s="170">
        <f t="shared" si="44"/>
        <v>89038.79314</v>
      </c>
      <c r="H46" s="170">
        <f t="shared" si="44"/>
        <v>97295.9948</v>
      </c>
      <c r="I46" s="170">
        <f t="shared" si="44"/>
        <v>105371.5144</v>
      </c>
      <c r="J46" s="170"/>
      <c r="K46" s="170">
        <f t="shared" ref="K46:BR46" si="45">K45*K6</f>
        <v>1976.2275</v>
      </c>
      <c r="L46" s="170">
        <f t="shared" si="45"/>
        <v>2488.582778</v>
      </c>
      <c r="M46" s="170">
        <f t="shared" si="45"/>
        <v>2744.760417</v>
      </c>
      <c r="N46" s="170">
        <f t="shared" si="45"/>
        <v>3000.938056</v>
      </c>
      <c r="O46" s="170">
        <f t="shared" si="45"/>
        <v>3257.115694</v>
      </c>
      <c r="P46" s="170">
        <f t="shared" si="45"/>
        <v>3513.293333</v>
      </c>
      <c r="Q46" s="170">
        <f t="shared" si="45"/>
        <v>3769.470972</v>
      </c>
      <c r="R46" s="170">
        <f t="shared" si="45"/>
        <v>4025.648611</v>
      </c>
      <c r="S46" s="170">
        <f t="shared" si="45"/>
        <v>4281.82625</v>
      </c>
      <c r="T46" s="170">
        <f t="shared" si="45"/>
        <v>4538.003889</v>
      </c>
      <c r="U46" s="170">
        <f t="shared" si="45"/>
        <v>4794.181528</v>
      </c>
      <c r="V46" s="170">
        <f t="shared" si="45"/>
        <v>5050.359167</v>
      </c>
      <c r="W46" s="170">
        <f t="shared" si="45"/>
        <v>5306.536806</v>
      </c>
      <c r="X46" s="170">
        <f t="shared" si="45"/>
        <v>5562.714444</v>
      </c>
      <c r="Y46" s="170">
        <f t="shared" si="45"/>
        <v>5818.892083</v>
      </c>
      <c r="Z46" s="170">
        <f t="shared" si="45"/>
        <v>6075.069722</v>
      </c>
      <c r="AA46" s="170">
        <f t="shared" si="45"/>
        <v>6331.247361</v>
      </c>
      <c r="AB46" s="170">
        <f t="shared" si="45"/>
        <v>6587.425</v>
      </c>
      <c r="AC46" s="170">
        <f t="shared" si="45"/>
        <v>6658.788771</v>
      </c>
      <c r="AD46" s="170">
        <f t="shared" si="45"/>
        <v>6730.925649</v>
      </c>
      <c r="AE46" s="170">
        <f t="shared" si="45"/>
        <v>6803.84401</v>
      </c>
      <c r="AF46" s="170">
        <f t="shared" si="45"/>
        <v>6877.55232</v>
      </c>
      <c r="AG46" s="170">
        <f t="shared" si="45"/>
        <v>6952.059137</v>
      </c>
      <c r="AH46" s="170">
        <f t="shared" si="45"/>
        <v>7027.373111</v>
      </c>
      <c r="AI46" s="170">
        <f t="shared" si="45"/>
        <v>7085.934554</v>
      </c>
      <c r="AJ46" s="170">
        <f t="shared" si="45"/>
        <v>7144.984008</v>
      </c>
      <c r="AK46" s="170">
        <f t="shared" si="45"/>
        <v>7204.525542</v>
      </c>
      <c r="AL46" s="170">
        <f t="shared" si="45"/>
        <v>7264.563255</v>
      </c>
      <c r="AM46" s="170">
        <f t="shared" si="45"/>
        <v>7325.101282</v>
      </c>
      <c r="AN46" s="170">
        <f t="shared" si="45"/>
        <v>7386.143793</v>
      </c>
      <c r="AO46" s="170">
        <f t="shared" si="45"/>
        <v>7447.694991</v>
      </c>
      <c r="AP46" s="170">
        <f t="shared" si="45"/>
        <v>7509.759116</v>
      </c>
      <c r="AQ46" s="170">
        <f t="shared" si="45"/>
        <v>7572.340442</v>
      </c>
      <c r="AR46" s="170">
        <f t="shared" si="45"/>
        <v>7635.443279</v>
      </c>
      <c r="AS46" s="170">
        <f t="shared" si="45"/>
        <v>7699.071973</v>
      </c>
      <c r="AT46" s="170">
        <f t="shared" si="45"/>
        <v>7763.230906</v>
      </c>
      <c r="AU46" s="170">
        <f t="shared" si="45"/>
        <v>7814.985779</v>
      </c>
      <c r="AV46" s="170">
        <f t="shared" si="45"/>
        <v>7867.085684</v>
      </c>
      <c r="AW46" s="170">
        <f t="shared" si="45"/>
        <v>7919.532922</v>
      </c>
      <c r="AX46" s="170">
        <f t="shared" si="45"/>
        <v>7972.329808</v>
      </c>
      <c r="AY46" s="170">
        <f t="shared" si="45"/>
        <v>8025.478673</v>
      </c>
      <c r="AZ46" s="170">
        <f t="shared" si="45"/>
        <v>8078.981864</v>
      </c>
      <c r="BA46" s="170">
        <f t="shared" si="45"/>
        <v>8132.841743</v>
      </c>
      <c r="BB46" s="170">
        <f t="shared" si="45"/>
        <v>8187.060688</v>
      </c>
      <c r="BC46" s="170">
        <f t="shared" si="45"/>
        <v>8241.641093</v>
      </c>
      <c r="BD46" s="170">
        <f t="shared" si="45"/>
        <v>8296.585367</v>
      </c>
      <c r="BE46" s="170">
        <f t="shared" si="45"/>
        <v>8351.895936</v>
      </c>
      <c r="BF46" s="170">
        <f t="shared" si="45"/>
        <v>8407.575242</v>
      </c>
      <c r="BG46" s="170">
        <f t="shared" si="45"/>
        <v>8463.625744</v>
      </c>
      <c r="BH46" s="170">
        <f t="shared" si="45"/>
        <v>8520.049915</v>
      </c>
      <c r="BI46" s="170">
        <f t="shared" si="45"/>
        <v>8576.850248</v>
      </c>
      <c r="BJ46" s="170">
        <f t="shared" si="45"/>
        <v>8634.02925</v>
      </c>
      <c r="BK46" s="170">
        <f t="shared" si="45"/>
        <v>8691.589445</v>
      </c>
      <c r="BL46" s="170">
        <f t="shared" si="45"/>
        <v>8749.533375</v>
      </c>
      <c r="BM46" s="170">
        <f t="shared" si="45"/>
        <v>8807.863597</v>
      </c>
      <c r="BN46" s="170">
        <f t="shared" si="45"/>
        <v>8866.582688</v>
      </c>
      <c r="BO46" s="170">
        <f t="shared" si="45"/>
        <v>8925.693239</v>
      </c>
      <c r="BP46" s="170">
        <f t="shared" si="45"/>
        <v>8985.197861</v>
      </c>
      <c r="BQ46" s="170">
        <f t="shared" si="45"/>
        <v>9045.09918</v>
      </c>
      <c r="BR46" s="170">
        <f t="shared" si="45"/>
        <v>9105.399841</v>
      </c>
    </row>
    <row r="47" ht="14.25" customHeight="1">
      <c r="A47" s="170"/>
      <c r="B47" s="178" t="s">
        <v>180</v>
      </c>
      <c r="C47" s="179"/>
      <c r="D47" s="179"/>
      <c r="E47" s="170">
        <f t="shared" ref="E47:I47" si="46">E41-E46</f>
        <v>-144300.3307</v>
      </c>
      <c r="F47" s="170">
        <f t="shared" si="46"/>
        <v>-94350.83741</v>
      </c>
      <c r="G47" s="170">
        <f t="shared" si="46"/>
        <v>-79487.1451</v>
      </c>
      <c r="H47" s="170">
        <f t="shared" si="46"/>
        <v>-76133.2666</v>
      </c>
      <c r="I47" s="170">
        <f t="shared" si="46"/>
        <v>-28417.04632</v>
      </c>
      <c r="J47" s="170"/>
      <c r="K47" s="170">
        <f t="shared" ref="K47:BR47" si="47">K41-K46</f>
        <v>-14296.7774</v>
      </c>
      <c r="L47" s="170">
        <f t="shared" si="47"/>
        <v>-13599.09015</v>
      </c>
      <c r="M47" s="170">
        <f t="shared" si="47"/>
        <v>-13242.97309</v>
      </c>
      <c r="N47" s="170">
        <f t="shared" si="47"/>
        <v>-12886.85603</v>
      </c>
      <c r="O47" s="170">
        <f t="shared" si="47"/>
        <v>-12530.73897</v>
      </c>
      <c r="P47" s="170">
        <f t="shared" si="47"/>
        <v>-12174.62191</v>
      </c>
      <c r="Q47" s="170">
        <f t="shared" si="47"/>
        <v>-11818.50485</v>
      </c>
      <c r="R47" s="170">
        <f t="shared" si="47"/>
        <v>-11462.38779</v>
      </c>
      <c r="S47" s="170">
        <f t="shared" si="47"/>
        <v>-11106.27073</v>
      </c>
      <c r="T47" s="170">
        <f t="shared" si="47"/>
        <v>-10750.15367</v>
      </c>
      <c r="U47" s="170">
        <f t="shared" si="47"/>
        <v>-10394.03661</v>
      </c>
      <c r="V47" s="170">
        <f t="shared" si="47"/>
        <v>-10037.91955</v>
      </c>
      <c r="W47" s="170">
        <f t="shared" si="47"/>
        <v>-9465.542717</v>
      </c>
      <c r="X47" s="170">
        <f t="shared" si="47"/>
        <v>-9092.347148</v>
      </c>
      <c r="Y47" s="170">
        <f t="shared" si="47"/>
        <v>-8719.151578</v>
      </c>
      <c r="Z47" s="170">
        <f t="shared" si="47"/>
        <v>-8345.956009</v>
      </c>
      <c r="AA47" s="170">
        <f t="shared" si="47"/>
        <v>-7972.760439</v>
      </c>
      <c r="AB47" s="170">
        <f t="shared" si="47"/>
        <v>-7599.56487</v>
      </c>
      <c r="AC47" s="170">
        <f t="shared" si="47"/>
        <v>-7485.108716</v>
      </c>
      <c r="AD47" s="170">
        <f t="shared" si="47"/>
        <v>-7369.570211</v>
      </c>
      <c r="AE47" s="170">
        <f t="shared" si="47"/>
        <v>-7252.937631</v>
      </c>
      <c r="AF47" s="170">
        <f t="shared" si="47"/>
        <v>-7135.199121</v>
      </c>
      <c r="AG47" s="170">
        <f t="shared" si="47"/>
        <v>-7016.342703</v>
      </c>
      <c r="AH47" s="170">
        <f t="shared" si="47"/>
        <v>-6896.356264</v>
      </c>
      <c r="AI47" s="170">
        <f t="shared" si="47"/>
        <v>-7216.016045</v>
      </c>
      <c r="AJ47" s="170">
        <f t="shared" si="47"/>
        <v>-7110.926673</v>
      </c>
      <c r="AK47" s="170">
        <f t="shared" si="47"/>
        <v>-7005.08278</v>
      </c>
      <c r="AL47" s="170">
        <f t="shared" si="47"/>
        <v>-6898.478079</v>
      </c>
      <c r="AM47" s="170">
        <f t="shared" si="47"/>
        <v>-6791.106229</v>
      </c>
      <c r="AN47" s="170">
        <f t="shared" si="47"/>
        <v>-6682.960838</v>
      </c>
      <c r="AO47" s="170">
        <f t="shared" si="47"/>
        <v>-6574.035459</v>
      </c>
      <c r="AP47" s="170">
        <f t="shared" si="47"/>
        <v>-6464.323592</v>
      </c>
      <c r="AQ47" s="170">
        <f t="shared" si="47"/>
        <v>-6353.818684</v>
      </c>
      <c r="AR47" s="170">
        <f t="shared" si="47"/>
        <v>-6242.514125</v>
      </c>
      <c r="AS47" s="170">
        <f t="shared" si="47"/>
        <v>-6130.403253</v>
      </c>
      <c r="AT47" s="170">
        <f t="shared" si="47"/>
        <v>-6017.479347</v>
      </c>
      <c r="AU47" s="170">
        <f t="shared" si="47"/>
        <v>-6873.734504</v>
      </c>
      <c r="AV47" s="170">
        <f t="shared" si="47"/>
        <v>-6779.301107</v>
      </c>
      <c r="AW47" s="170">
        <f t="shared" si="47"/>
        <v>-6684.335134</v>
      </c>
      <c r="AX47" s="170">
        <f t="shared" si="47"/>
        <v>-6588.833034</v>
      </c>
      <c r="AY47" s="170">
        <f t="shared" si="47"/>
        <v>-6492.791232</v>
      </c>
      <c r="AZ47" s="170">
        <f t="shared" si="47"/>
        <v>-6396.206131</v>
      </c>
      <c r="BA47" s="170">
        <f t="shared" si="47"/>
        <v>-6299.074108</v>
      </c>
      <c r="BB47" s="170">
        <f t="shared" si="47"/>
        <v>-6201.391517</v>
      </c>
      <c r="BC47" s="170">
        <f t="shared" si="47"/>
        <v>-6103.154688</v>
      </c>
      <c r="BD47" s="170">
        <f t="shared" si="47"/>
        <v>-6004.359927</v>
      </c>
      <c r="BE47" s="170">
        <f t="shared" si="47"/>
        <v>-5905.003512</v>
      </c>
      <c r="BF47" s="170">
        <f t="shared" si="47"/>
        <v>-5805.081701</v>
      </c>
      <c r="BG47" s="170">
        <f t="shared" si="47"/>
        <v>-2934.673481</v>
      </c>
      <c r="BH47" s="170">
        <f t="shared" si="47"/>
        <v>-2833.609543</v>
      </c>
      <c r="BI47" s="170">
        <f t="shared" si="47"/>
        <v>-2731.968824</v>
      </c>
      <c r="BJ47" s="170">
        <f t="shared" si="47"/>
        <v>-2629.74748</v>
      </c>
      <c r="BK47" s="170">
        <f t="shared" si="47"/>
        <v>-2526.941639</v>
      </c>
      <c r="BL47" s="170">
        <f t="shared" si="47"/>
        <v>-2423.547406</v>
      </c>
      <c r="BM47" s="170">
        <f t="shared" si="47"/>
        <v>-2319.560856</v>
      </c>
      <c r="BN47" s="170">
        <f t="shared" si="47"/>
        <v>-2214.978042</v>
      </c>
      <c r="BO47" s="170">
        <f t="shared" si="47"/>
        <v>-2109.794988</v>
      </c>
      <c r="BP47" s="170">
        <f t="shared" si="47"/>
        <v>-2004.007694</v>
      </c>
      <c r="BQ47" s="170">
        <f t="shared" si="47"/>
        <v>-1897.612129</v>
      </c>
      <c r="BR47" s="170">
        <f t="shared" si="47"/>
        <v>-1790.604241</v>
      </c>
    </row>
    <row r="48" ht="14.25" customHeight="1">
      <c r="A48" s="170"/>
      <c r="B48" s="191"/>
      <c r="E48" s="192"/>
      <c r="F48" s="192"/>
      <c r="G48" s="192"/>
      <c r="H48" s="192"/>
      <c r="I48" s="192"/>
      <c r="J48" s="170"/>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row>
    <row r="49" ht="14.25" customHeight="1">
      <c r="A49" s="170"/>
      <c r="B49" s="206" t="s">
        <v>14</v>
      </c>
      <c r="C49" s="25"/>
      <c r="D49" s="25"/>
      <c r="E49" s="208">
        <f t="shared" ref="E49:I49" si="48">SUMIFS($K49:$BR49,$K$1:$BR$1,E$1)</f>
        <v>55000</v>
      </c>
      <c r="F49" s="208">
        <f t="shared" si="48"/>
        <v>0</v>
      </c>
      <c r="G49" s="208">
        <f t="shared" si="48"/>
        <v>0</v>
      </c>
      <c r="H49" s="208">
        <f t="shared" si="48"/>
        <v>0</v>
      </c>
      <c r="I49" s="208">
        <f t="shared" si="48"/>
        <v>0</v>
      </c>
      <c r="J49" s="170"/>
      <c r="K49" s="208">
        <f t="array" ref="K49">IFERROR(INDEX(Shareholder_Salary_Adj,K$1)/12,0)</f>
        <v>4583.333333</v>
      </c>
      <c r="L49" s="208">
        <f t="array" ref="L49">IFERROR(INDEX(Shareholder_Salary_Adj,L$1)/12,0)</f>
        <v>4583.333333</v>
      </c>
      <c r="M49" s="208">
        <f t="array" ref="M49">IFERROR(INDEX(Shareholder_Salary_Adj,M$1)/12,0)</f>
        <v>4583.333333</v>
      </c>
      <c r="N49" s="208">
        <f t="array" ref="N49">IFERROR(INDEX(Shareholder_Salary_Adj,N$1)/12,0)</f>
        <v>4583.333333</v>
      </c>
      <c r="O49" s="208">
        <f t="array" ref="O49">IFERROR(INDEX(Shareholder_Salary_Adj,O$1)/12,0)</f>
        <v>4583.333333</v>
      </c>
      <c r="P49" s="208">
        <f t="array" ref="P49">IFERROR(INDEX(Shareholder_Salary_Adj,P$1)/12,0)</f>
        <v>4583.333333</v>
      </c>
      <c r="Q49" s="208">
        <f t="array" ref="Q49">IFERROR(INDEX(Shareholder_Salary_Adj,Q$1)/12,0)</f>
        <v>4583.333333</v>
      </c>
      <c r="R49" s="208">
        <f t="array" ref="R49">IFERROR(INDEX(Shareholder_Salary_Adj,R$1)/12,0)</f>
        <v>4583.333333</v>
      </c>
      <c r="S49" s="208">
        <f t="array" ref="S49">IFERROR(INDEX(Shareholder_Salary_Adj,S$1)/12,0)</f>
        <v>4583.333333</v>
      </c>
      <c r="T49" s="208">
        <f t="array" ref="T49">IFERROR(INDEX(Shareholder_Salary_Adj,T$1)/12,0)</f>
        <v>4583.333333</v>
      </c>
      <c r="U49" s="208">
        <f t="array" ref="U49">IFERROR(INDEX(Shareholder_Salary_Adj,U$1)/12,0)</f>
        <v>4583.333333</v>
      </c>
      <c r="V49" s="208">
        <f t="array" ref="V49">IFERROR(INDEX(Shareholder_Salary_Adj,V$1)/12,0)</f>
        <v>4583.333333</v>
      </c>
      <c r="W49" s="208">
        <f t="array" ref="W49">IFERROR(INDEX(Shareholder_Salary_Adj,W$1)/12,0)</f>
        <v>0</v>
      </c>
      <c r="X49" s="208">
        <f t="array" ref="X49">IFERROR(INDEX(Shareholder_Salary_Adj,X$1)/12,0)</f>
        <v>0</v>
      </c>
      <c r="Y49" s="208">
        <f t="array" ref="Y49">IFERROR(INDEX(Shareholder_Salary_Adj,Y$1)/12,0)</f>
        <v>0</v>
      </c>
      <c r="Z49" s="208">
        <f t="array" ref="Z49">IFERROR(INDEX(Shareholder_Salary_Adj,Z$1)/12,0)</f>
        <v>0</v>
      </c>
      <c r="AA49" s="208">
        <f t="array" ref="AA49">IFERROR(INDEX(Shareholder_Salary_Adj,AA$1)/12,0)</f>
        <v>0</v>
      </c>
      <c r="AB49" s="208">
        <f t="array" ref="AB49">IFERROR(INDEX(Shareholder_Salary_Adj,AB$1)/12,0)</f>
        <v>0</v>
      </c>
      <c r="AC49" s="208">
        <f t="array" ref="AC49">IFERROR(INDEX(Shareholder_Salary_Adj,AC$1)/12,0)</f>
        <v>0</v>
      </c>
      <c r="AD49" s="208">
        <f t="array" ref="AD49">IFERROR(INDEX(Shareholder_Salary_Adj,AD$1)/12,0)</f>
        <v>0</v>
      </c>
      <c r="AE49" s="208">
        <f t="array" ref="AE49">IFERROR(INDEX(Shareholder_Salary_Adj,AE$1)/12,0)</f>
        <v>0</v>
      </c>
      <c r="AF49" s="208">
        <f t="array" ref="AF49">IFERROR(INDEX(Shareholder_Salary_Adj,AF$1)/12,0)</f>
        <v>0</v>
      </c>
      <c r="AG49" s="208">
        <f t="array" ref="AG49">IFERROR(INDEX(Shareholder_Salary_Adj,AG$1)/12,0)</f>
        <v>0</v>
      </c>
      <c r="AH49" s="208">
        <f t="array" ref="AH49">IFERROR(INDEX(Shareholder_Salary_Adj,AH$1)/12,0)</f>
        <v>0</v>
      </c>
      <c r="AI49" s="208">
        <f t="array" ref="AI49">IFERROR(INDEX(Shareholder_Salary_Adj,AI$1)/12,0)</f>
        <v>0</v>
      </c>
      <c r="AJ49" s="208">
        <f t="array" ref="AJ49">IFERROR(INDEX(Shareholder_Salary_Adj,AJ$1)/12,0)</f>
        <v>0</v>
      </c>
      <c r="AK49" s="208">
        <f t="array" ref="AK49">IFERROR(INDEX(Shareholder_Salary_Adj,AK$1)/12,0)</f>
        <v>0</v>
      </c>
      <c r="AL49" s="208">
        <f t="array" ref="AL49">IFERROR(INDEX(Shareholder_Salary_Adj,AL$1)/12,0)</f>
        <v>0</v>
      </c>
      <c r="AM49" s="208">
        <f t="array" ref="AM49">IFERROR(INDEX(Shareholder_Salary_Adj,AM$1)/12,0)</f>
        <v>0</v>
      </c>
      <c r="AN49" s="208">
        <f t="array" ref="AN49">IFERROR(INDEX(Shareholder_Salary_Adj,AN$1)/12,0)</f>
        <v>0</v>
      </c>
      <c r="AO49" s="208">
        <f t="array" ref="AO49">IFERROR(INDEX(Shareholder_Salary_Adj,AO$1)/12,0)</f>
        <v>0</v>
      </c>
      <c r="AP49" s="208">
        <f t="array" ref="AP49">IFERROR(INDEX(Shareholder_Salary_Adj,AP$1)/12,0)</f>
        <v>0</v>
      </c>
      <c r="AQ49" s="208">
        <f t="array" ref="AQ49">IFERROR(INDEX(Shareholder_Salary_Adj,AQ$1)/12,0)</f>
        <v>0</v>
      </c>
      <c r="AR49" s="208">
        <f t="array" ref="AR49">IFERROR(INDEX(Shareholder_Salary_Adj,AR$1)/12,0)</f>
        <v>0</v>
      </c>
      <c r="AS49" s="208">
        <f t="array" ref="AS49">IFERROR(INDEX(Shareholder_Salary_Adj,AS$1)/12,0)</f>
        <v>0</v>
      </c>
      <c r="AT49" s="208">
        <f t="array" ref="AT49">IFERROR(INDEX(Shareholder_Salary_Adj,AT$1)/12,0)</f>
        <v>0</v>
      </c>
      <c r="AU49" s="208">
        <f t="array" ref="AU49">IFERROR(INDEX(Shareholder_Salary_Adj,AU$1)/12,0)</f>
        <v>0</v>
      </c>
      <c r="AV49" s="208">
        <f t="array" ref="AV49">IFERROR(INDEX(Shareholder_Salary_Adj,AV$1)/12,0)</f>
        <v>0</v>
      </c>
      <c r="AW49" s="208">
        <f t="array" ref="AW49">IFERROR(INDEX(Shareholder_Salary_Adj,AW$1)/12,0)</f>
        <v>0</v>
      </c>
      <c r="AX49" s="208">
        <f t="array" ref="AX49">IFERROR(INDEX(Shareholder_Salary_Adj,AX$1)/12,0)</f>
        <v>0</v>
      </c>
      <c r="AY49" s="208">
        <f t="array" ref="AY49">IFERROR(INDEX(Shareholder_Salary_Adj,AY$1)/12,0)</f>
        <v>0</v>
      </c>
      <c r="AZ49" s="208">
        <f t="array" ref="AZ49">IFERROR(INDEX(Shareholder_Salary_Adj,AZ$1)/12,0)</f>
        <v>0</v>
      </c>
      <c r="BA49" s="208">
        <f t="array" ref="BA49">IFERROR(INDEX(Shareholder_Salary_Adj,BA$1)/12,0)</f>
        <v>0</v>
      </c>
      <c r="BB49" s="208">
        <f t="array" ref="BB49">IFERROR(INDEX(Shareholder_Salary_Adj,BB$1)/12,0)</f>
        <v>0</v>
      </c>
      <c r="BC49" s="208">
        <f t="array" ref="BC49">IFERROR(INDEX(Shareholder_Salary_Adj,BC$1)/12,0)</f>
        <v>0</v>
      </c>
      <c r="BD49" s="208">
        <f t="array" ref="BD49">IFERROR(INDEX(Shareholder_Salary_Adj,BD$1)/12,0)</f>
        <v>0</v>
      </c>
      <c r="BE49" s="208">
        <f t="array" ref="BE49">IFERROR(INDEX(Shareholder_Salary_Adj,BE$1)/12,0)</f>
        <v>0</v>
      </c>
      <c r="BF49" s="208">
        <f t="array" ref="BF49">IFERROR(INDEX(Shareholder_Salary_Adj,BF$1)/12,0)</f>
        <v>0</v>
      </c>
      <c r="BG49" s="208">
        <f t="array" ref="BG49">IFERROR(INDEX(Shareholder_Salary_Adj,BG$1)/12,0)</f>
        <v>0</v>
      </c>
      <c r="BH49" s="208">
        <f t="array" ref="BH49">IFERROR(INDEX(Shareholder_Salary_Adj,BH$1)/12,0)</f>
        <v>0</v>
      </c>
      <c r="BI49" s="208">
        <f t="array" ref="BI49">IFERROR(INDEX(Shareholder_Salary_Adj,BI$1)/12,0)</f>
        <v>0</v>
      </c>
      <c r="BJ49" s="208">
        <f t="array" ref="BJ49">IFERROR(INDEX(Shareholder_Salary_Adj,BJ$1)/12,0)</f>
        <v>0</v>
      </c>
      <c r="BK49" s="208">
        <f t="array" ref="BK49">IFERROR(INDEX(Shareholder_Salary_Adj,BK$1)/12,0)</f>
        <v>0</v>
      </c>
      <c r="BL49" s="208">
        <f t="array" ref="BL49">IFERROR(INDEX(Shareholder_Salary_Adj,BL$1)/12,0)</f>
        <v>0</v>
      </c>
      <c r="BM49" s="208">
        <f t="array" ref="BM49">IFERROR(INDEX(Shareholder_Salary_Adj,BM$1)/12,0)</f>
        <v>0</v>
      </c>
      <c r="BN49" s="208">
        <f t="array" ref="BN49">IFERROR(INDEX(Shareholder_Salary_Adj,BN$1)/12,0)</f>
        <v>0</v>
      </c>
      <c r="BO49" s="208">
        <f t="array" ref="BO49">IFERROR(INDEX(Shareholder_Salary_Adj,BO$1)/12,0)</f>
        <v>0</v>
      </c>
      <c r="BP49" s="208">
        <f t="array" ref="BP49">IFERROR(INDEX(Shareholder_Salary_Adj,BP$1)/12,0)</f>
        <v>0</v>
      </c>
      <c r="BQ49" s="208">
        <f t="array" ref="BQ49">IFERROR(INDEX(Shareholder_Salary_Adj,BQ$1)/12,0)</f>
        <v>0</v>
      </c>
      <c r="BR49" s="208">
        <f t="array" ref="BR49">IFERROR(INDEX(Shareholder_Salary_Adj,BR$1)/12,0)</f>
        <v>0</v>
      </c>
    </row>
    <row r="50" ht="14.25" customHeight="1">
      <c r="A50" s="170"/>
      <c r="B50" s="206" t="s">
        <v>181</v>
      </c>
      <c r="C50" s="25"/>
      <c r="D50" s="25"/>
      <c r="E50" s="209">
        <f t="shared" ref="E50:I50" si="49">(E41-E49)/E6</f>
        <v>-0.5381852831</v>
      </c>
      <c r="F50" s="209">
        <f t="shared" si="49"/>
        <v>-0.0344412578</v>
      </c>
      <c r="G50" s="209">
        <f t="shared" si="49"/>
        <v>0.01609126938</v>
      </c>
      <c r="H50" s="209">
        <f t="shared" si="49"/>
        <v>0.03262630941</v>
      </c>
      <c r="I50" s="209">
        <f t="shared" si="49"/>
        <v>0.1095473504</v>
      </c>
      <c r="J50" s="170"/>
      <c r="K50" s="209">
        <f t="shared" ref="K50:BR50" si="50">(K41-K49)/K6</f>
        <v>-1.283041798</v>
      </c>
      <c r="L50" s="209">
        <f t="shared" si="50"/>
        <v>-0.9459504932</v>
      </c>
      <c r="M50" s="209">
        <f t="shared" si="50"/>
        <v>-0.8242001332</v>
      </c>
      <c r="N50" s="209">
        <f t="shared" si="50"/>
        <v>-0.7232364201</v>
      </c>
      <c r="O50" s="209">
        <f t="shared" si="50"/>
        <v>-0.6381546394</v>
      </c>
      <c r="P50" s="209">
        <f t="shared" si="50"/>
        <v>-0.5654806183</v>
      </c>
      <c r="Q50" s="209">
        <f t="shared" si="50"/>
        <v>-0.5026846196</v>
      </c>
      <c r="R50" s="209">
        <f t="shared" si="50"/>
        <v>-0.4478808388</v>
      </c>
      <c r="S50" s="209">
        <f t="shared" si="50"/>
        <v>-0.3996347754</v>
      </c>
      <c r="T50" s="209">
        <f t="shared" si="50"/>
        <v>-0.3568358482</v>
      </c>
      <c r="U50" s="209">
        <f t="shared" si="50"/>
        <v>-0.3186108522</v>
      </c>
      <c r="V50" s="209">
        <f t="shared" si="50"/>
        <v>-0.2842637543</v>
      </c>
      <c r="W50" s="209">
        <f t="shared" si="50"/>
        <v>-0.1175627174</v>
      </c>
      <c r="X50" s="209">
        <f t="shared" si="50"/>
        <v>-0.09517743735</v>
      </c>
      <c r="Y50" s="209">
        <f t="shared" si="50"/>
        <v>-0.07476318825</v>
      </c>
      <c r="Z50" s="209">
        <f t="shared" si="50"/>
        <v>-0.05607062282</v>
      </c>
      <c r="AA50" s="209">
        <f t="shared" si="50"/>
        <v>-0.03889075054</v>
      </c>
      <c r="AB50" s="209">
        <f t="shared" si="50"/>
        <v>-0.02304709056</v>
      </c>
      <c r="AC50" s="209">
        <f t="shared" si="50"/>
        <v>-0.01861419487</v>
      </c>
      <c r="AD50" s="209">
        <f t="shared" si="50"/>
        <v>-0.01423231949</v>
      </c>
      <c r="AE50" s="209">
        <f t="shared" si="50"/>
        <v>-0.00990087999</v>
      </c>
      <c r="AF50" s="209">
        <f t="shared" si="50"/>
        <v>-0.0056192986</v>
      </c>
      <c r="AG50" s="209">
        <f t="shared" si="50"/>
        <v>-0.001387004143</v>
      </c>
      <c r="AH50" s="209">
        <f t="shared" si="50"/>
        <v>0.002796568041</v>
      </c>
      <c r="AI50" s="209">
        <f t="shared" si="50"/>
        <v>-0.002753655647</v>
      </c>
      <c r="AJ50" s="209">
        <f t="shared" si="50"/>
        <v>0.0007149911462</v>
      </c>
      <c r="AK50" s="209">
        <f t="shared" si="50"/>
        <v>0.004152447524</v>
      </c>
      <c r="AL50" s="209">
        <f t="shared" si="50"/>
        <v>0.007558992118</v>
      </c>
      <c r="AM50" s="209">
        <f t="shared" si="50"/>
        <v>0.01093490108</v>
      </c>
      <c r="AN50" s="209">
        <f t="shared" si="50"/>
        <v>0.01428044812</v>
      </c>
      <c r="AO50" s="209">
        <f t="shared" si="50"/>
        <v>0.01759590451</v>
      </c>
      <c r="AP50" s="209">
        <f t="shared" si="50"/>
        <v>0.02088153909</v>
      </c>
      <c r="AQ50" s="209">
        <f t="shared" si="50"/>
        <v>0.02413761836</v>
      </c>
      <c r="AR50" s="209">
        <f t="shared" si="50"/>
        <v>0.02736440641</v>
      </c>
      <c r="AS50" s="209">
        <f t="shared" si="50"/>
        <v>0.030562165</v>
      </c>
      <c r="AT50" s="209">
        <f t="shared" si="50"/>
        <v>0.03373115356</v>
      </c>
      <c r="AU50" s="209">
        <f t="shared" si="50"/>
        <v>0.01806627615</v>
      </c>
      <c r="AV50" s="209">
        <f t="shared" si="50"/>
        <v>0.02074055031</v>
      </c>
      <c r="AW50" s="209">
        <f t="shared" si="50"/>
        <v>0.02339527721</v>
      </c>
      <c r="AX50" s="209">
        <f t="shared" si="50"/>
        <v>0.02603059847</v>
      </c>
      <c r="AY50" s="209">
        <f t="shared" si="50"/>
        <v>0.02864665468</v>
      </c>
      <c r="AZ50" s="209">
        <f t="shared" si="50"/>
        <v>0.03124358543</v>
      </c>
      <c r="BA50" s="209">
        <f t="shared" si="50"/>
        <v>0.03382152931</v>
      </c>
      <c r="BB50" s="209">
        <f t="shared" si="50"/>
        <v>0.03638062389</v>
      </c>
      <c r="BC50" s="209">
        <f t="shared" si="50"/>
        <v>0.03892100579</v>
      </c>
      <c r="BD50" s="209">
        <f t="shared" si="50"/>
        <v>0.04144281061</v>
      </c>
      <c r="BE50" s="209">
        <f t="shared" si="50"/>
        <v>0.04394617299</v>
      </c>
      <c r="BF50" s="209">
        <f t="shared" si="50"/>
        <v>0.04643122659</v>
      </c>
      <c r="BG50" s="209">
        <f t="shared" si="50"/>
        <v>0.09798907283</v>
      </c>
      <c r="BH50" s="209">
        <f t="shared" si="50"/>
        <v>0.1001128003</v>
      </c>
      <c r="BI50" s="209">
        <f t="shared" si="50"/>
        <v>0.1022207673</v>
      </c>
      <c r="BJ50" s="209">
        <f t="shared" si="50"/>
        <v>0.1043130895</v>
      </c>
      <c r="BK50" s="209">
        <f t="shared" si="50"/>
        <v>0.1063898815</v>
      </c>
      <c r="BL50" s="209">
        <f t="shared" si="50"/>
        <v>0.1084512573</v>
      </c>
      <c r="BM50" s="209">
        <f t="shared" si="50"/>
        <v>0.1104973301</v>
      </c>
      <c r="BN50" s="209">
        <f t="shared" si="50"/>
        <v>0.1125282121</v>
      </c>
      <c r="BO50" s="209">
        <f t="shared" si="50"/>
        <v>0.1145440147</v>
      </c>
      <c r="BP50" s="209">
        <f t="shared" si="50"/>
        <v>0.1165448487</v>
      </c>
      <c r="BQ50" s="209">
        <f t="shared" si="50"/>
        <v>0.1185308238</v>
      </c>
      <c r="BR50" s="209">
        <f t="shared" si="50"/>
        <v>0.1205020492</v>
      </c>
    </row>
    <row r="51" ht="14.25" customHeight="1">
      <c r="A51" s="170"/>
      <c r="B51" s="177"/>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row>
    <row r="52" ht="14.25" customHeight="1">
      <c r="A52" s="170"/>
      <c r="B52" s="178" t="s">
        <v>182</v>
      </c>
      <c r="C52" s="179"/>
      <c r="D52" s="179"/>
      <c r="E52" s="170">
        <f t="shared" ref="E52:I52" si="51">E14</f>
        <v>176657.66</v>
      </c>
      <c r="F52" s="170">
        <f t="shared" si="51"/>
        <v>312045.2089</v>
      </c>
      <c r="G52" s="170">
        <f t="shared" si="51"/>
        <v>362091.0921</v>
      </c>
      <c r="H52" s="170">
        <f t="shared" si="51"/>
        <v>395670.3788</v>
      </c>
      <c r="I52" s="170">
        <f t="shared" si="51"/>
        <v>428510.8252</v>
      </c>
      <c r="J52" s="170"/>
      <c r="K52" s="170">
        <f t="shared" ref="K52:BR52" si="52">K14</f>
        <v>8036.6585</v>
      </c>
      <c r="L52" s="170">
        <f t="shared" si="52"/>
        <v>10120.23663</v>
      </c>
      <c r="M52" s="170">
        <f t="shared" si="52"/>
        <v>11162.02569</v>
      </c>
      <c r="N52" s="170">
        <f t="shared" si="52"/>
        <v>12203.81476</v>
      </c>
      <c r="O52" s="170">
        <f t="shared" si="52"/>
        <v>13245.60382</v>
      </c>
      <c r="P52" s="170">
        <f t="shared" si="52"/>
        <v>14287.39289</v>
      </c>
      <c r="Q52" s="170">
        <f t="shared" si="52"/>
        <v>15329.18195</v>
      </c>
      <c r="R52" s="170">
        <f t="shared" si="52"/>
        <v>16370.97102</v>
      </c>
      <c r="S52" s="170">
        <f t="shared" si="52"/>
        <v>17412.76008</v>
      </c>
      <c r="T52" s="170">
        <f t="shared" si="52"/>
        <v>18454.54915</v>
      </c>
      <c r="U52" s="170">
        <f t="shared" si="52"/>
        <v>19496.33821</v>
      </c>
      <c r="V52" s="170">
        <f t="shared" si="52"/>
        <v>20538.12728</v>
      </c>
      <c r="W52" s="170">
        <f t="shared" si="52"/>
        <v>21579.91634</v>
      </c>
      <c r="X52" s="170">
        <f t="shared" si="52"/>
        <v>22621.70541</v>
      </c>
      <c r="Y52" s="170">
        <f t="shared" si="52"/>
        <v>23663.49447</v>
      </c>
      <c r="Z52" s="170">
        <f t="shared" si="52"/>
        <v>24705.28354</v>
      </c>
      <c r="AA52" s="170">
        <f t="shared" si="52"/>
        <v>25747.0726</v>
      </c>
      <c r="AB52" s="170">
        <f t="shared" si="52"/>
        <v>26788.86167</v>
      </c>
      <c r="AC52" s="170">
        <f t="shared" si="52"/>
        <v>27079.07433</v>
      </c>
      <c r="AD52" s="170">
        <f t="shared" si="52"/>
        <v>27372.43097</v>
      </c>
      <c r="AE52" s="170">
        <f t="shared" si="52"/>
        <v>27668.96564</v>
      </c>
      <c r="AF52" s="170">
        <f t="shared" si="52"/>
        <v>27968.71277</v>
      </c>
      <c r="AG52" s="170">
        <f t="shared" si="52"/>
        <v>28271.70716</v>
      </c>
      <c r="AH52" s="170">
        <f t="shared" si="52"/>
        <v>28577.98399</v>
      </c>
      <c r="AI52" s="170">
        <f t="shared" si="52"/>
        <v>28816.13385</v>
      </c>
      <c r="AJ52" s="170">
        <f t="shared" si="52"/>
        <v>29056.2683</v>
      </c>
      <c r="AK52" s="170">
        <f t="shared" si="52"/>
        <v>29298.40387</v>
      </c>
      <c r="AL52" s="170">
        <f t="shared" si="52"/>
        <v>29542.55724</v>
      </c>
      <c r="AM52" s="170">
        <f t="shared" si="52"/>
        <v>29788.74521</v>
      </c>
      <c r="AN52" s="170">
        <f t="shared" si="52"/>
        <v>30036.98476</v>
      </c>
      <c r="AO52" s="170">
        <f t="shared" si="52"/>
        <v>30287.29296</v>
      </c>
      <c r="AP52" s="170">
        <f t="shared" si="52"/>
        <v>30539.68707</v>
      </c>
      <c r="AQ52" s="170">
        <f t="shared" si="52"/>
        <v>30794.18446</v>
      </c>
      <c r="AR52" s="170">
        <f t="shared" si="52"/>
        <v>31050.80267</v>
      </c>
      <c r="AS52" s="170">
        <f t="shared" si="52"/>
        <v>31309.55936</v>
      </c>
      <c r="AT52" s="170">
        <f t="shared" si="52"/>
        <v>31570.47235</v>
      </c>
      <c r="AU52" s="170">
        <f t="shared" si="52"/>
        <v>31780.94217</v>
      </c>
      <c r="AV52" s="170">
        <f t="shared" si="52"/>
        <v>31992.81511</v>
      </c>
      <c r="AW52" s="170">
        <f t="shared" si="52"/>
        <v>32206.10055</v>
      </c>
      <c r="AX52" s="170">
        <f t="shared" si="52"/>
        <v>32420.80788</v>
      </c>
      <c r="AY52" s="170">
        <f t="shared" si="52"/>
        <v>32636.9466</v>
      </c>
      <c r="AZ52" s="170">
        <f t="shared" si="52"/>
        <v>32854.52625</v>
      </c>
      <c r="BA52" s="170">
        <f t="shared" si="52"/>
        <v>33073.55642</v>
      </c>
      <c r="BB52" s="170">
        <f t="shared" si="52"/>
        <v>33294.0468</v>
      </c>
      <c r="BC52" s="170">
        <f t="shared" si="52"/>
        <v>33516.00711</v>
      </c>
      <c r="BD52" s="170">
        <f t="shared" si="52"/>
        <v>33739.44716</v>
      </c>
      <c r="BE52" s="170">
        <f t="shared" si="52"/>
        <v>33964.37681</v>
      </c>
      <c r="BF52" s="170">
        <f t="shared" si="52"/>
        <v>34190.80599</v>
      </c>
      <c r="BG52" s="170">
        <f t="shared" si="52"/>
        <v>34418.74469</v>
      </c>
      <c r="BH52" s="170">
        <f t="shared" si="52"/>
        <v>34648.20299</v>
      </c>
      <c r="BI52" s="170">
        <f t="shared" si="52"/>
        <v>34879.19101</v>
      </c>
      <c r="BJ52" s="170">
        <f t="shared" si="52"/>
        <v>35111.71895</v>
      </c>
      <c r="BK52" s="170">
        <f t="shared" si="52"/>
        <v>35345.79708</v>
      </c>
      <c r="BL52" s="170">
        <f t="shared" si="52"/>
        <v>35581.43572</v>
      </c>
      <c r="BM52" s="170">
        <f t="shared" si="52"/>
        <v>35818.64529</v>
      </c>
      <c r="BN52" s="170">
        <f t="shared" si="52"/>
        <v>36057.43626</v>
      </c>
      <c r="BO52" s="170">
        <f t="shared" si="52"/>
        <v>36297.81917</v>
      </c>
      <c r="BP52" s="170">
        <f t="shared" si="52"/>
        <v>36539.80463</v>
      </c>
      <c r="BQ52" s="170">
        <f t="shared" si="52"/>
        <v>36783.40333</v>
      </c>
      <c r="BR52" s="170">
        <f t="shared" si="52"/>
        <v>37028.62602</v>
      </c>
    </row>
    <row r="53" ht="14.25" customHeight="1">
      <c r="A53" s="158"/>
      <c r="B53" s="178" t="s">
        <v>183</v>
      </c>
      <c r="C53" s="179"/>
      <c r="D53" s="179"/>
      <c r="E53" s="170">
        <f t="shared" ref="E53:I53" si="53">E26+E17</f>
        <v>43440.40819</v>
      </c>
      <c r="F53" s="170">
        <f t="shared" si="53"/>
        <v>155170.0219</v>
      </c>
      <c r="G53" s="170">
        <f t="shared" si="53"/>
        <v>180056.2261</v>
      </c>
      <c r="H53" s="170">
        <f t="shared" si="53"/>
        <v>196754.1228</v>
      </c>
      <c r="I53" s="170">
        <f t="shared" si="53"/>
        <v>213084.618</v>
      </c>
      <c r="J53" s="170"/>
      <c r="K53" s="170">
        <f t="shared" ref="K53:BR53" si="54">K26+K17</f>
        <v>1976.2275</v>
      </c>
      <c r="L53" s="170">
        <f t="shared" si="54"/>
        <v>2488.582778</v>
      </c>
      <c r="M53" s="170">
        <f t="shared" si="54"/>
        <v>2744.760417</v>
      </c>
      <c r="N53" s="170">
        <f t="shared" si="54"/>
        <v>3000.938056</v>
      </c>
      <c r="O53" s="170">
        <f t="shared" si="54"/>
        <v>3257.115694</v>
      </c>
      <c r="P53" s="170">
        <f t="shared" si="54"/>
        <v>3513.293333</v>
      </c>
      <c r="Q53" s="170">
        <f t="shared" si="54"/>
        <v>3769.470972</v>
      </c>
      <c r="R53" s="170">
        <f t="shared" si="54"/>
        <v>4025.648611</v>
      </c>
      <c r="S53" s="170">
        <f t="shared" si="54"/>
        <v>4281.82625</v>
      </c>
      <c r="T53" s="170">
        <f t="shared" si="54"/>
        <v>4538.003889</v>
      </c>
      <c r="U53" s="170">
        <f t="shared" si="54"/>
        <v>4794.181528</v>
      </c>
      <c r="V53" s="170">
        <f t="shared" si="54"/>
        <v>5050.359167</v>
      </c>
      <c r="W53" s="170">
        <f t="shared" si="54"/>
        <v>11843.00293</v>
      </c>
      <c r="X53" s="170">
        <f t="shared" si="54"/>
        <v>12099.18057</v>
      </c>
      <c r="Y53" s="170">
        <f t="shared" si="54"/>
        <v>12355.35821</v>
      </c>
      <c r="Z53" s="170">
        <f t="shared" si="54"/>
        <v>12611.53585</v>
      </c>
      <c r="AA53" s="170">
        <f t="shared" si="54"/>
        <v>12867.71349</v>
      </c>
      <c r="AB53" s="170">
        <f t="shared" si="54"/>
        <v>13123.89112</v>
      </c>
      <c r="AC53" s="170">
        <f t="shared" si="54"/>
        <v>13195.2549</v>
      </c>
      <c r="AD53" s="170">
        <f t="shared" si="54"/>
        <v>13267.39177</v>
      </c>
      <c r="AE53" s="170">
        <f t="shared" si="54"/>
        <v>13340.31013</v>
      </c>
      <c r="AF53" s="170">
        <f t="shared" si="54"/>
        <v>13414.01844</v>
      </c>
      <c r="AG53" s="170">
        <f t="shared" si="54"/>
        <v>13488.52526</v>
      </c>
      <c r="AH53" s="170">
        <f t="shared" si="54"/>
        <v>13563.83924</v>
      </c>
      <c r="AI53" s="170">
        <f t="shared" si="54"/>
        <v>14670.72064</v>
      </c>
      <c r="AJ53" s="170">
        <f t="shared" si="54"/>
        <v>14729.77009</v>
      </c>
      <c r="AK53" s="170">
        <f t="shared" si="54"/>
        <v>14789.31162</v>
      </c>
      <c r="AL53" s="170">
        <f t="shared" si="54"/>
        <v>14849.34934</v>
      </c>
      <c r="AM53" s="170">
        <f t="shared" si="54"/>
        <v>14909.88736</v>
      </c>
      <c r="AN53" s="170">
        <f t="shared" si="54"/>
        <v>14970.92987</v>
      </c>
      <c r="AO53" s="170">
        <f t="shared" si="54"/>
        <v>15032.48107</v>
      </c>
      <c r="AP53" s="170">
        <f t="shared" si="54"/>
        <v>15094.5452</v>
      </c>
      <c r="AQ53" s="170">
        <f t="shared" si="54"/>
        <v>15157.12652</v>
      </c>
      <c r="AR53" s="170">
        <f t="shared" si="54"/>
        <v>15220.22936</v>
      </c>
      <c r="AS53" s="170">
        <f t="shared" si="54"/>
        <v>15283.85805</v>
      </c>
      <c r="AT53" s="170">
        <f t="shared" si="54"/>
        <v>15348.01699</v>
      </c>
      <c r="AU53" s="170">
        <f t="shared" si="54"/>
        <v>16103.16311</v>
      </c>
      <c r="AV53" s="170">
        <f t="shared" si="54"/>
        <v>16155.26302</v>
      </c>
      <c r="AW53" s="170">
        <f t="shared" si="54"/>
        <v>16207.71026</v>
      </c>
      <c r="AX53" s="170">
        <f t="shared" si="54"/>
        <v>16260.50714</v>
      </c>
      <c r="AY53" s="170">
        <f t="shared" si="54"/>
        <v>16313.65601</v>
      </c>
      <c r="AZ53" s="170">
        <f t="shared" si="54"/>
        <v>16367.1592</v>
      </c>
      <c r="BA53" s="170">
        <f t="shared" si="54"/>
        <v>16421.01908</v>
      </c>
      <c r="BB53" s="170">
        <f t="shared" si="54"/>
        <v>16475.23802</v>
      </c>
      <c r="BC53" s="170">
        <f t="shared" si="54"/>
        <v>16529.81843</v>
      </c>
      <c r="BD53" s="170">
        <f t="shared" si="54"/>
        <v>16584.7627</v>
      </c>
      <c r="BE53" s="170">
        <f t="shared" si="54"/>
        <v>16640.07327</v>
      </c>
      <c r="BF53" s="170">
        <f t="shared" si="54"/>
        <v>16695.75258</v>
      </c>
      <c r="BG53" s="170">
        <f t="shared" si="54"/>
        <v>17439.71771</v>
      </c>
      <c r="BH53" s="170">
        <f t="shared" si="54"/>
        <v>17496.14188</v>
      </c>
      <c r="BI53" s="170">
        <f t="shared" si="54"/>
        <v>17552.94221</v>
      </c>
      <c r="BJ53" s="170">
        <f t="shared" si="54"/>
        <v>17610.12122</v>
      </c>
      <c r="BK53" s="170">
        <f t="shared" si="54"/>
        <v>17667.68141</v>
      </c>
      <c r="BL53" s="170">
        <f t="shared" si="54"/>
        <v>17725.62534</v>
      </c>
      <c r="BM53" s="170">
        <f t="shared" si="54"/>
        <v>17783.95556</v>
      </c>
      <c r="BN53" s="170">
        <f t="shared" si="54"/>
        <v>17842.67465</v>
      </c>
      <c r="BO53" s="170">
        <f t="shared" si="54"/>
        <v>17901.7852</v>
      </c>
      <c r="BP53" s="170">
        <f t="shared" si="54"/>
        <v>17961.28983</v>
      </c>
      <c r="BQ53" s="170">
        <f t="shared" si="54"/>
        <v>18021.19115</v>
      </c>
      <c r="BR53" s="170">
        <f t="shared" si="54"/>
        <v>18081.49181</v>
      </c>
    </row>
    <row r="54" ht="14.25" customHeight="1">
      <c r="A54" s="158"/>
      <c r="B54" s="178" t="s">
        <v>184</v>
      </c>
      <c r="C54" s="179"/>
      <c r="D54" s="179"/>
      <c r="E54" s="170">
        <f t="shared" ref="E54:I54" si="55">E53+E49</f>
        <v>98440.40819</v>
      </c>
      <c r="F54" s="170">
        <f t="shared" si="55"/>
        <v>155170.0219</v>
      </c>
      <c r="G54" s="170">
        <f t="shared" si="55"/>
        <v>180056.2261</v>
      </c>
      <c r="H54" s="170">
        <f t="shared" si="55"/>
        <v>196754.1228</v>
      </c>
      <c r="I54" s="170">
        <f t="shared" si="55"/>
        <v>213084.618</v>
      </c>
      <c r="J54" s="170"/>
      <c r="K54" s="170">
        <f t="shared" ref="K54:BR54" si="56">K53+K49</f>
        <v>6559.560833</v>
      </c>
      <c r="L54" s="170">
        <f t="shared" si="56"/>
        <v>7071.916111</v>
      </c>
      <c r="M54" s="170">
        <f t="shared" si="56"/>
        <v>7328.09375</v>
      </c>
      <c r="N54" s="170">
        <f t="shared" si="56"/>
        <v>7584.271389</v>
      </c>
      <c r="O54" s="170">
        <f t="shared" si="56"/>
        <v>7840.449028</v>
      </c>
      <c r="P54" s="170">
        <f t="shared" si="56"/>
        <v>8096.626667</v>
      </c>
      <c r="Q54" s="170">
        <f t="shared" si="56"/>
        <v>8352.804306</v>
      </c>
      <c r="R54" s="170">
        <f t="shared" si="56"/>
        <v>8608.981944</v>
      </c>
      <c r="S54" s="170">
        <f t="shared" si="56"/>
        <v>8865.159583</v>
      </c>
      <c r="T54" s="170">
        <f t="shared" si="56"/>
        <v>9121.337222</v>
      </c>
      <c r="U54" s="170">
        <f t="shared" si="56"/>
        <v>9377.514861</v>
      </c>
      <c r="V54" s="170">
        <f t="shared" si="56"/>
        <v>9633.6925</v>
      </c>
      <c r="W54" s="170">
        <f t="shared" si="56"/>
        <v>11843.00293</v>
      </c>
      <c r="X54" s="170">
        <f t="shared" si="56"/>
        <v>12099.18057</v>
      </c>
      <c r="Y54" s="170">
        <f t="shared" si="56"/>
        <v>12355.35821</v>
      </c>
      <c r="Z54" s="170">
        <f t="shared" si="56"/>
        <v>12611.53585</v>
      </c>
      <c r="AA54" s="170">
        <f t="shared" si="56"/>
        <v>12867.71349</v>
      </c>
      <c r="AB54" s="170">
        <f t="shared" si="56"/>
        <v>13123.89112</v>
      </c>
      <c r="AC54" s="170">
        <f t="shared" si="56"/>
        <v>13195.2549</v>
      </c>
      <c r="AD54" s="170">
        <f t="shared" si="56"/>
        <v>13267.39177</v>
      </c>
      <c r="AE54" s="170">
        <f t="shared" si="56"/>
        <v>13340.31013</v>
      </c>
      <c r="AF54" s="170">
        <f t="shared" si="56"/>
        <v>13414.01844</v>
      </c>
      <c r="AG54" s="170">
        <f t="shared" si="56"/>
        <v>13488.52526</v>
      </c>
      <c r="AH54" s="170">
        <f t="shared" si="56"/>
        <v>13563.83924</v>
      </c>
      <c r="AI54" s="170">
        <f t="shared" si="56"/>
        <v>14670.72064</v>
      </c>
      <c r="AJ54" s="170">
        <f t="shared" si="56"/>
        <v>14729.77009</v>
      </c>
      <c r="AK54" s="170">
        <f t="shared" si="56"/>
        <v>14789.31162</v>
      </c>
      <c r="AL54" s="170">
        <f t="shared" si="56"/>
        <v>14849.34934</v>
      </c>
      <c r="AM54" s="170">
        <f t="shared" si="56"/>
        <v>14909.88736</v>
      </c>
      <c r="AN54" s="170">
        <f t="shared" si="56"/>
        <v>14970.92987</v>
      </c>
      <c r="AO54" s="170">
        <f t="shared" si="56"/>
        <v>15032.48107</v>
      </c>
      <c r="AP54" s="170">
        <f t="shared" si="56"/>
        <v>15094.5452</v>
      </c>
      <c r="AQ54" s="170">
        <f t="shared" si="56"/>
        <v>15157.12652</v>
      </c>
      <c r="AR54" s="170">
        <f t="shared" si="56"/>
        <v>15220.22936</v>
      </c>
      <c r="AS54" s="170">
        <f t="shared" si="56"/>
        <v>15283.85805</v>
      </c>
      <c r="AT54" s="170">
        <f t="shared" si="56"/>
        <v>15348.01699</v>
      </c>
      <c r="AU54" s="170">
        <f t="shared" si="56"/>
        <v>16103.16311</v>
      </c>
      <c r="AV54" s="170">
        <f t="shared" si="56"/>
        <v>16155.26302</v>
      </c>
      <c r="AW54" s="170">
        <f t="shared" si="56"/>
        <v>16207.71026</v>
      </c>
      <c r="AX54" s="170">
        <f t="shared" si="56"/>
        <v>16260.50714</v>
      </c>
      <c r="AY54" s="170">
        <f t="shared" si="56"/>
        <v>16313.65601</v>
      </c>
      <c r="AZ54" s="170">
        <f t="shared" si="56"/>
        <v>16367.1592</v>
      </c>
      <c r="BA54" s="170">
        <f t="shared" si="56"/>
        <v>16421.01908</v>
      </c>
      <c r="BB54" s="170">
        <f t="shared" si="56"/>
        <v>16475.23802</v>
      </c>
      <c r="BC54" s="170">
        <f t="shared" si="56"/>
        <v>16529.81843</v>
      </c>
      <c r="BD54" s="170">
        <f t="shared" si="56"/>
        <v>16584.7627</v>
      </c>
      <c r="BE54" s="170">
        <f t="shared" si="56"/>
        <v>16640.07327</v>
      </c>
      <c r="BF54" s="170">
        <f t="shared" si="56"/>
        <v>16695.75258</v>
      </c>
      <c r="BG54" s="170">
        <f t="shared" si="56"/>
        <v>17439.71771</v>
      </c>
      <c r="BH54" s="170">
        <f t="shared" si="56"/>
        <v>17496.14188</v>
      </c>
      <c r="BI54" s="170">
        <f t="shared" si="56"/>
        <v>17552.94221</v>
      </c>
      <c r="BJ54" s="170">
        <f t="shared" si="56"/>
        <v>17610.12122</v>
      </c>
      <c r="BK54" s="170">
        <f t="shared" si="56"/>
        <v>17667.68141</v>
      </c>
      <c r="BL54" s="170">
        <f t="shared" si="56"/>
        <v>17725.62534</v>
      </c>
      <c r="BM54" s="170">
        <f t="shared" si="56"/>
        <v>17783.95556</v>
      </c>
      <c r="BN54" s="170">
        <f t="shared" si="56"/>
        <v>17842.67465</v>
      </c>
      <c r="BO54" s="170">
        <f t="shared" si="56"/>
        <v>17901.7852</v>
      </c>
      <c r="BP54" s="170">
        <f t="shared" si="56"/>
        <v>17961.28983</v>
      </c>
      <c r="BQ54" s="170">
        <f t="shared" si="56"/>
        <v>18021.19115</v>
      </c>
      <c r="BR54" s="170">
        <f t="shared" si="56"/>
        <v>18081.49181</v>
      </c>
    </row>
    <row r="55" ht="14.25" customHeight="1">
      <c r="A55" s="158"/>
      <c r="B55" s="178"/>
      <c r="C55" s="179"/>
      <c r="D55" s="179"/>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row>
    <row r="56" ht="14.25" customHeight="1">
      <c r="A56" s="170"/>
      <c r="B56" s="178" t="s">
        <v>185</v>
      </c>
      <c r="C56" s="179"/>
      <c r="D56" s="179"/>
      <c r="E56" s="170">
        <f t="shared" ref="E56:I56" si="57">((1-E45)*E6)-E12-E24-E25-E27-E28+E38</f>
        <v>61360.95245</v>
      </c>
      <c r="F56" s="170">
        <f t="shared" si="57"/>
        <v>127270.3095</v>
      </c>
      <c r="G56" s="170">
        <f t="shared" si="57"/>
        <v>164925.456</v>
      </c>
      <c r="H56" s="170">
        <f t="shared" si="57"/>
        <v>182882.4812</v>
      </c>
      <c r="I56" s="170">
        <f t="shared" si="57"/>
        <v>200378.1966</v>
      </c>
      <c r="J56" s="170"/>
      <c r="K56" s="170">
        <f t="shared" ref="K56:BR56" si="58">((1-K45)*K6)-K12-K24-K25-K27-K28+K38</f>
        <v>1277.864167</v>
      </c>
      <c r="L56" s="170">
        <f t="shared" si="58"/>
        <v>2473.359815</v>
      </c>
      <c r="M56" s="170">
        <f t="shared" si="58"/>
        <v>3071.107639</v>
      </c>
      <c r="N56" s="170">
        <f t="shared" si="58"/>
        <v>3668.855463</v>
      </c>
      <c r="O56" s="170">
        <f t="shared" si="58"/>
        <v>4266.603287</v>
      </c>
      <c r="P56" s="170">
        <f t="shared" si="58"/>
        <v>4864.351111</v>
      </c>
      <c r="Q56" s="170">
        <f t="shared" si="58"/>
        <v>5462.098935</v>
      </c>
      <c r="R56" s="170">
        <f t="shared" si="58"/>
        <v>6059.846759</v>
      </c>
      <c r="S56" s="170">
        <f t="shared" si="58"/>
        <v>6657.594583</v>
      </c>
      <c r="T56" s="170">
        <f t="shared" si="58"/>
        <v>7255.342407</v>
      </c>
      <c r="U56" s="170">
        <f t="shared" si="58"/>
        <v>7853.090231</v>
      </c>
      <c r="V56" s="170">
        <f t="shared" si="58"/>
        <v>8450.838056</v>
      </c>
      <c r="W56" s="170">
        <f t="shared" si="58"/>
        <v>7995.061775</v>
      </c>
      <c r="X56" s="170">
        <f t="shared" si="58"/>
        <v>8609.888108</v>
      </c>
      <c r="Y56" s="170">
        <f t="shared" si="58"/>
        <v>9224.714442</v>
      </c>
      <c r="Z56" s="170">
        <f t="shared" si="58"/>
        <v>9839.540775</v>
      </c>
      <c r="AA56" s="170">
        <f t="shared" si="58"/>
        <v>10454.36711</v>
      </c>
      <c r="AB56" s="170">
        <f t="shared" si="58"/>
        <v>11069.19344</v>
      </c>
      <c r="AC56" s="170">
        <f t="shared" si="58"/>
        <v>11240.46649</v>
      </c>
      <c r="AD56" s="170">
        <f t="shared" si="58"/>
        <v>11413.595</v>
      </c>
      <c r="AE56" s="170">
        <f t="shared" si="58"/>
        <v>11588.59907</v>
      </c>
      <c r="AF56" s="170">
        <f t="shared" si="58"/>
        <v>11765.49901</v>
      </c>
      <c r="AG56" s="170">
        <f t="shared" si="58"/>
        <v>11944.31537</v>
      </c>
      <c r="AH56" s="170">
        <f t="shared" si="58"/>
        <v>12125.06891</v>
      </c>
      <c r="AI56" s="170">
        <f t="shared" si="58"/>
        <v>12897.74365</v>
      </c>
      <c r="AJ56" s="170">
        <f t="shared" si="58"/>
        <v>13047.33561</v>
      </c>
      <c r="AK56" s="170">
        <f t="shared" si="58"/>
        <v>13198.17416</v>
      </c>
      <c r="AL56" s="170">
        <f t="shared" si="58"/>
        <v>13350.2697</v>
      </c>
      <c r="AM56" s="170">
        <f t="shared" si="58"/>
        <v>13503.6327</v>
      </c>
      <c r="AN56" s="170">
        <f t="shared" si="58"/>
        <v>13658.27372</v>
      </c>
      <c r="AO56" s="170">
        <f t="shared" si="58"/>
        <v>13814.20343</v>
      </c>
      <c r="AP56" s="170">
        <f t="shared" si="58"/>
        <v>13971.43254</v>
      </c>
      <c r="AQ56" s="170">
        <f t="shared" si="58"/>
        <v>14129.9719</v>
      </c>
      <c r="AR56" s="170">
        <f t="shared" si="58"/>
        <v>14289.83242</v>
      </c>
      <c r="AS56" s="170">
        <f t="shared" si="58"/>
        <v>14451.02511</v>
      </c>
      <c r="AT56" s="170">
        <f t="shared" si="58"/>
        <v>14613.56108</v>
      </c>
      <c r="AU56" s="170">
        <f t="shared" si="58"/>
        <v>14497.90517</v>
      </c>
      <c r="AV56" s="170">
        <f t="shared" si="58"/>
        <v>14629.8916</v>
      </c>
      <c r="AW56" s="170">
        <f t="shared" si="58"/>
        <v>14762.75793</v>
      </c>
      <c r="AX56" s="170">
        <f t="shared" si="58"/>
        <v>14896.51005</v>
      </c>
      <c r="AY56" s="170">
        <f t="shared" si="58"/>
        <v>15031.15384</v>
      </c>
      <c r="AZ56" s="170">
        <f t="shared" si="58"/>
        <v>15166.69526</v>
      </c>
      <c r="BA56" s="170">
        <f t="shared" si="58"/>
        <v>15303.14028</v>
      </c>
      <c r="BB56" s="170">
        <f t="shared" si="58"/>
        <v>15440.49494</v>
      </c>
      <c r="BC56" s="170">
        <f t="shared" si="58"/>
        <v>15578.7653</v>
      </c>
      <c r="BD56" s="170">
        <f t="shared" si="58"/>
        <v>15717.95746</v>
      </c>
      <c r="BE56" s="170">
        <f t="shared" si="58"/>
        <v>15858.07757</v>
      </c>
      <c r="BF56" s="170">
        <f t="shared" si="58"/>
        <v>15999.13181</v>
      </c>
      <c r="BG56" s="170">
        <f t="shared" si="58"/>
        <v>15894.27079</v>
      </c>
      <c r="BH56" s="170">
        <f t="shared" si="58"/>
        <v>16037.21203</v>
      </c>
      <c r="BI56" s="170">
        <f t="shared" si="58"/>
        <v>16181.1062</v>
      </c>
      <c r="BJ56" s="170">
        <f t="shared" si="58"/>
        <v>16325.95967</v>
      </c>
      <c r="BK56" s="170">
        <f t="shared" si="58"/>
        <v>16471.77883</v>
      </c>
      <c r="BL56" s="170">
        <f t="shared" si="58"/>
        <v>16618.57012</v>
      </c>
      <c r="BM56" s="170">
        <f t="shared" si="58"/>
        <v>16766.34002</v>
      </c>
      <c r="BN56" s="170">
        <f t="shared" si="58"/>
        <v>16915.09505</v>
      </c>
      <c r="BO56" s="170">
        <f t="shared" si="58"/>
        <v>17064.84178</v>
      </c>
      <c r="BP56" s="170">
        <f t="shared" si="58"/>
        <v>17215.58682</v>
      </c>
      <c r="BQ56" s="170">
        <f t="shared" si="58"/>
        <v>17367.33683</v>
      </c>
      <c r="BR56" s="170">
        <f t="shared" si="58"/>
        <v>17520.0985</v>
      </c>
    </row>
    <row r="57" ht="14.25" customHeight="1">
      <c r="A57" s="170"/>
      <c r="B57" s="178" t="s">
        <v>128</v>
      </c>
      <c r="C57" s="179"/>
      <c r="D57" s="179"/>
      <c r="E57" s="170">
        <f t="shared" ref="E57:I57" si="59">E56-E54</f>
        <v>-37079.45574</v>
      </c>
      <c r="F57" s="170">
        <f t="shared" si="59"/>
        <v>-27899.71241</v>
      </c>
      <c r="G57" s="170">
        <f t="shared" si="59"/>
        <v>-15130.7701</v>
      </c>
      <c r="H57" s="170">
        <f t="shared" si="59"/>
        <v>-13871.6416</v>
      </c>
      <c r="I57" s="170">
        <f t="shared" si="59"/>
        <v>-12706.42132</v>
      </c>
      <c r="J57" s="170"/>
      <c r="K57" s="170">
        <f t="shared" ref="K57:BR57" si="60">K56-K54</f>
        <v>-5281.696667</v>
      </c>
      <c r="L57" s="170">
        <f t="shared" si="60"/>
        <v>-4598.556296</v>
      </c>
      <c r="M57" s="170">
        <f t="shared" si="60"/>
        <v>-4256.986111</v>
      </c>
      <c r="N57" s="170">
        <f t="shared" si="60"/>
        <v>-3915.415926</v>
      </c>
      <c r="O57" s="170">
        <f t="shared" si="60"/>
        <v>-3573.845741</v>
      </c>
      <c r="P57" s="170">
        <f t="shared" si="60"/>
        <v>-3232.275556</v>
      </c>
      <c r="Q57" s="170">
        <f t="shared" si="60"/>
        <v>-2890.70537</v>
      </c>
      <c r="R57" s="170">
        <f t="shared" si="60"/>
        <v>-2549.135185</v>
      </c>
      <c r="S57" s="170">
        <f t="shared" si="60"/>
        <v>-2207.565</v>
      </c>
      <c r="T57" s="170">
        <f t="shared" si="60"/>
        <v>-1865.994815</v>
      </c>
      <c r="U57" s="170">
        <f t="shared" si="60"/>
        <v>-1524.42463</v>
      </c>
      <c r="V57" s="170">
        <f t="shared" si="60"/>
        <v>-1182.854444</v>
      </c>
      <c r="W57" s="170">
        <f t="shared" si="60"/>
        <v>-3847.941155</v>
      </c>
      <c r="X57" s="170">
        <f t="shared" si="60"/>
        <v>-3489.29246</v>
      </c>
      <c r="Y57" s="170">
        <f t="shared" si="60"/>
        <v>-3130.643766</v>
      </c>
      <c r="Z57" s="170">
        <f t="shared" si="60"/>
        <v>-2771.995071</v>
      </c>
      <c r="AA57" s="170">
        <f t="shared" si="60"/>
        <v>-2413.346377</v>
      </c>
      <c r="AB57" s="170">
        <f t="shared" si="60"/>
        <v>-2054.697683</v>
      </c>
      <c r="AC57" s="170">
        <f t="shared" si="60"/>
        <v>-1954.788403</v>
      </c>
      <c r="AD57" s="170">
        <f t="shared" si="60"/>
        <v>-1853.796774</v>
      </c>
      <c r="AE57" s="170">
        <f t="shared" si="60"/>
        <v>-1751.711068</v>
      </c>
      <c r="AF57" s="170">
        <f t="shared" si="60"/>
        <v>-1648.519434</v>
      </c>
      <c r="AG57" s="170">
        <f t="shared" si="60"/>
        <v>-1544.20989</v>
      </c>
      <c r="AH57" s="170">
        <f t="shared" si="60"/>
        <v>-1438.770327</v>
      </c>
      <c r="AI57" s="170">
        <f t="shared" si="60"/>
        <v>-1772.976983</v>
      </c>
      <c r="AJ57" s="170">
        <f t="shared" si="60"/>
        <v>-1682.434486</v>
      </c>
      <c r="AK57" s="170">
        <f t="shared" si="60"/>
        <v>-1591.137468</v>
      </c>
      <c r="AL57" s="170">
        <f t="shared" si="60"/>
        <v>-1499.079641</v>
      </c>
      <c r="AM57" s="170">
        <f t="shared" si="60"/>
        <v>-1406.254666</v>
      </c>
      <c r="AN57" s="170">
        <f t="shared" si="60"/>
        <v>-1312.65615</v>
      </c>
      <c r="AO57" s="170">
        <f t="shared" si="60"/>
        <v>-1218.277646</v>
      </c>
      <c r="AP57" s="170">
        <f t="shared" si="60"/>
        <v>-1123.112655</v>
      </c>
      <c r="AQ57" s="170">
        <f t="shared" si="60"/>
        <v>-1027.154621</v>
      </c>
      <c r="AR57" s="170">
        <f t="shared" si="60"/>
        <v>-930.3969379</v>
      </c>
      <c r="AS57" s="170">
        <f t="shared" si="60"/>
        <v>-832.8329405</v>
      </c>
      <c r="AT57" s="170">
        <f t="shared" si="60"/>
        <v>-734.4559097</v>
      </c>
      <c r="AU57" s="170">
        <f t="shared" si="60"/>
        <v>-1605.257941</v>
      </c>
      <c r="AV57" s="170">
        <f t="shared" si="60"/>
        <v>-1525.37142</v>
      </c>
      <c r="AW57" s="170">
        <f t="shared" si="60"/>
        <v>-1444.952322</v>
      </c>
      <c r="AX57" s="170">
        <f t="shared" si="60"/>
        <v>-1363.997096</v>
      </c>
      <c r="AY57" s="170">
        <f t="shared" si="60"/>
        <v>-1282.50217</v>
      </c>
      <c r="AZ57" s="170">
        <f t="shared" si="60"/>
        <v>-1200.463943</v>
      </c>
      <c r="BA57" s="170">
        <f t="shared" si="60"/>
        <v>-1117.878795</v>
      </c>
      <c r="BB57" s="170">
        <f t="shared" si="60"/>
        <v>-1034.74308</v>
      </c>
      <c r="BC57" s="170">
        <f t="shared" si="60"/>
        <v>-951.0531258</v>
      </c>
      <c r="BD57" s="170">
        <f t="shared" si="60"/>
        <v>-866.8052391</v>
      </c>
      <c r="BE57" s="170">
        <f t="shared" si="60"/>
        <v>-781.9956998</v>
      </c>
      <c r="BF57" s="170">
        <f t="shared" si="60"/>
        <v>-696.6207636</v>
      </c>
      <c r="BG57" s="170">
        <f t="shared" si="60"/>
        <v>-1545.446918</v>
      </c>
      <c r="BH57" s="170">
        <f t="shared" si="60"/>
        <v>-1458.929855</v>
      </c>
      <c r="BI57" s="170">
        <f t="shared" si="60"/>
        <v>-1371.836012</v>
      </c>
      <c r="BJ57" s="170">
        <f t="shared" si="60"/>
        <v>-1284.161542</v>
      </c>
      <c r="BK57" s="170">
        <f t="shared" si="60"/>
        <v>-1195.902577</v>
      </c>
      <c r="BL57" s="170">
        <f t="shared" si="60"/>
        <v>-1107.055218</v>
      </c>
      <c r="BM57" s="170">
        <f t="shared" si="60"/>
        <v>-1017.615544</v>
      </c>
      <c r="BN57" s="170">
        <f t="shared" si="60"/>
        <v>-927.5796046</v>
      </c>
      <c r="BO57" s="170">
        <f t="shared" si="60"/>
        <v>-836.943426</v>
      </c>
      <c r="BP57" s="170">
        <f t="shared" si="60"/>
        <v>-745.7030062</v>
      </c>
      <c r="BQ57" s="170">
        <f t="shared" si="60"/>
        <v>-653.8543169</v>
      </c>
      <c r="BR57" s="170">
        <f t="shared" si="60"/>
        <v>-561.3933031</v>
      </c>
    </row>
    <row r="58" ht="14.25" customHeight="1">
      <c r="A58" s="170"/>
      <c r="B58" s="178"/>
      <c r="C58" s="179"/>
      <c r="D58" s="179"/>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row>
    <row r="59" ht="14.25" customHeight="1">
      <c r="A59" s="158"/>
      <c r="B59" s="206" t="s">
        <v>186</v>
      </c>
      <c r="C59" s="25"/>
      <c r="D59" s="25"/>
      <c r="E59" s="194">
        <f t="shared" ref="E59:I59" si="61">IFERROR(E52/E53,"")</f>
        <v>4.066666667</v>
      </c>
      <c r="F59" s="194">
        <f t="shared" si="61"/>
        <v>2.010989011</v>
      </c>
      <c r="G59" s="194">
        <f t="shared" si="61"/>
        <v>2.010989011</v>
      </c>
      <c r="H59" s="194">
        <f t="shared" si="61"/>
        <v>2.010989011</v>
      </c>
      <c r="I59" s="194">
        <f t="shared" si="61"/>
        <v>2.010989011</v>
      </c>
      <c r="J59" s="194"/>
      <c r="K59" s="194">
        <f t="shared" ref="K59:BR59" si="62">IFERROR(K52/K53,"")</f>
        <v>4.066666667</v>
      </c>
      <c r="L59" s="194">
        <f t="shared" si="62"/>
        <v>4.066666667</v>
      </c>
      <c r="M59" s="194">
        <f t="shared" si="62"/>
        <v>4.066666667</v>
      </c>
      <c r="N59" s="194">
        <f t="shared" si="62"/>
        <v>4.066666667</v>
      </c>
      <c r="O59" s="194">
        <f t="shared" si="62"/>
        <v>4.066666667</v>
      </c>
      <c r="P59" s="194">
        <f t="shared" si="62"/>
        <v>4.066666667</v>
      </c>
      <c r="Q59" s="194">
        <f t="shared" si="62"/>
        <v>4.066666667</v>
      </c>
      <c r="R59" s="194">
        <f t="shared" si="62"/>
        <v>4.066666667</v>
      </c>
      <c r="S59" s="194">
        <f t="shared" si="62"/>
        <v>4.066666667</v>
      </c>
      <c r="T59" s="194">
        <f t="shared" si="62"/>
        <v>4.066666667</v>
      </c>
      <c r="U59" s="194">
        <f t="shared" si="62"/>
        <v>4.066666667</v>
      </c>
      <c r="V59" s="194">
        <f t="shared" si="62"/>
        <v>4.066666667</v>
      </c>
      <c r="W59" s="194">
        <f t="shared" si="62"/>
        <v>1.822165921</v>
      </c>
      <c r="X59" s="194">
        <f t="shared" si="62"/>
        <v>1.869689049</v>
      </c>
      <c r="Y59" s="194">
        <f t="shared" si="62"/>
        <v>1.915241475</v>
      </c>
      <c r="Z59" s="194">
        <f t="shared" si="62"/>
        <v>1.958943291</v>
      </c>
      <c r="AA59" s="194">
        <f t="shared" si="62"/>
        <v>2.000905027</v>
      </c>
      <c r="AB59" s="194">
        <f t="shared" si="62"/>
        <v>2.041228582</v>
      </c>
      <c r="AC59" s="194">
        <f t="shared" si="62"/>
        <v>2.052182739</v>
      </c>
      <c r="AD59" s="194">
        <f t="shared" si="62"/>
        <v>2.063135802</v>
      </c>
      <c r="AE59" s="194">
        <f t="shared" si="62"/>
        <v>2.074087136</v>
      </c>
      <c r="AF59" s="194">
        <f t="shared" si="62"/>
        <v>2.085036105</v>
      </c>
      <c r="AG59" s="194">
        <f t="shared" si="62"/>
        <v>2.095982074</v>
      </c>
      <c r="AH59" s="194">
        <f t="shared" si="62"/>
        <v>2.106924411</v>
      </c>
      <c r="AI59" s="194">
        <f t="shared" si="62"/>
        <v>1.964193482</v>
      </c>
      <c r="AJ59" s="194">
        <f t="shared" si="62"/>
        <v>1.972621984</v>
      </c>
      <c r="AK59" s="194">
        <f t="shared" si="62"/>
        <v>1.981052575</v>
      </c>
      <c r="AL59" s="194">
        <f t="shared" si="62"/>
        <v>1.989484964</v>
      </c>
      <c r="AM59" s="194">
        <f t="shared" si="62"/>
        <v>1.997918863</v>
      </c>
      <c r="AN59" s="194">
        <f t="shared" si="62"/>
        <v>2.006353981</v>
      </c>
      <c r="AO59" s="194">
        <f t="shared" si="62"/>
        <v>2.014790028</v>
      </c>
      <c r="AP59" s="194">
        <f t="shared" si="62"/>
        <v>2.023226713</v>
      </c>
      <c r="AQ59" s="194">
        <f t="shared" si="62"/>
        <v>2.031663747</v>
      </c>
      <c r="AR59" s="194">
        <f t="shared" si="62"/>
        <v>2.040100838</v>
      </c>
      <c r="AS59" s="194">
        <f t="shared" si="62"/>
        <v>2.048537695</v>
      </c>
      <c r="AT59" s="194">
        <f t="shared" si="62"/>
        <v>2.05697403</v>
      </c>
      <c r="AU59" s="194">
        <f t="shared" si="62"/>
        <v>1.97358382</v>
      </c>
      <c r="AV59" s="194">
        <f t="shared" si="62"/>
        <v>1.980333906</v>
      </c>
      <c r="AW59" s="194">
        <f t="shared" si="62"/>
        <v>1.987085161</v>
      </c>
      <c r="AX59" s="194">
        <f t="shared" si="62"/>
        <v>1.993837437</v>
      </c>
      <c r="AY59" s="194">
        <f t="shared" si="62"/>
        <v>2.000590584</v>
      </c>
      <c r="AZ59" s="194">
        <f t="shared" si="62"/>
        <v>2.007344454</v>
      </c>
      <c r="BA59" s="194">
        <f t="shared" si="62"/>
        <v>2.014098898</v>
      </c>
      <c r="BB59" s="194">
        <f t="shared" si="62"/>
        <v>2.020853766</v>
      </c>
      <c r="BC59" s="194">
        <f t="shared" si="62"/>
        <v>2.027608909</v>
      </c>
      <c r="BD59" s="194">
        <f t="shared" si="62"/>
        <v>2.034364179</v>
      </c>
      <c r="BE59" s="194">
        <f t="shared" si="62"/>
        <v>2.041119426</v>
      </c>
      <c r="BF59" s="194">
        <f t="shared" si="62"/>
        <v>2.047874501</v>
      </c>
      <c r="BG59" s="194">
        <f t="shared" si="62"/>
        <v>1.97358382</v>
      </c>
      <c r="BH59" s="194">
        <f t="shared" si="62"/>
        <v>1.980333906</v>
      </c>
      <c r="BI59" s="194">
        <f t="shared" si="62"/>
        <v>1.987085161</v>
      </c>
      <c r="BJ59" s="194">
        <f t="shared" si="62"/>
        <v>1.993837437</v>
      </c>
      <c r="BK59" s="194">
        <f t="shared" si="62"/>
        <v>2.000590584</v>
      </c>
      <c r="BL59" s="194">
        <f t="shared" si="62"/>
        <v>2.007344454</v>
      </c>
      <c r="BM59" s="194">
        <f t="shared" si="62"/>
        <v>2.014098898</v>
      </c>
      <c r="BN59" s="194">
        <f t="shared" si="62"/>
        <v>2.020853766</v>
      </c>
      <c r="BO59" s="194">
        <f t="shared" si="62"/>
        <v>2.027608909</v>
      </c>
      <c r="BP59" s="194">
        <f t="shared" si="62"/>
        <v>2.034364179</v>
      </c>
      <c r="BQ59" s="194">
        <f t="shared" si="62"/>
        <v>2.041119426</v>
      </c>
      <c r="BR59" s="194">
        <f t="shared" si="62"/>
        <v>2.047874501</v>
      </c>
    </row>
    <row r="60" ht="14.25" customHeight="1">
      <c r="A60" s="158"/>
      <c r="B60" s="206" t="s">
        <v>187</v>
      </c>
      <c r="C60" s="25"/>
      <c r="D60" s="25"/>
      <c r="E60" s="194">
        <f t="shared" ref="E60:I60" si="63">IFERROR(E52/E54,"")</f>
        <v>1.79456448</v>
      </c>
      <c r="F60" s="194">
        <f t="shared" si="63"/>
        <v>2.010989011</v>
      </c>
      <c r="G60" s="194">
        <f t="shared" si="63"/>
        <v>2.010989011</v>
      </c>
      <c r="H60" s="194">
        <f t="shared" si="63"/>
        <v>2.010989011</v>
      </c>
      <c r="I60" s="194">
        <f t="shared" si="63"/>
        <v>2.010989011</v>
      </c>
      <c r="J60" s="194"/>
      <c r="K60" s="194">
        <f t="shared" ref="K60:BR60" si="64">IFERROR(K52/K54,"")</f>
        <v>1.225182402</v>
      </c>
      <c r="L60" s="194">
        <f t="shared" si="64"/>
        <v>1.43104591</v>
      </c>
      <c r="M60" s="194">
        <f t="shared" si="64"/>
        <v>1.52318271</v>
      </c>
      <c r="N60" s="194">
        <f t="shared" si="64"/>
        <v>1.609095209</v>
      </c>
      <c r="O60" s="194">
        <f t="shared" si="64"/>
        <v>1.689393525</v>
      </c>
      <c r="P60" s="194">
        <f t="shared" si="64"/>
        <v>1.764610557</v>
      </c>
      <c r="Q60" s="194">
        <f t="shared" si="64"/>
        <v>1.835213827</v>
      </c>
      <c r="R60" s="194">
        <f t="shared" si="64"/>
        <v>1.901615211</v>
      </c>
      <c r="S60" s="194">
        <f t="shared" si="64"/>
        <v>1.964178977</v>
      </c>
      <c r="T60" s="194">
        <f t="shared" si="64"/>
        <v>2.02322847</v>
      </c>
      <c r="U60" s="194">
        <f t="shared" si="64"/>
        <v>2.0790517</v>
      </c>
      <c r="V60" s="194">
        <f t="shared" si="64"/>
        <v>2.131906045</v>
      </c>
      <c r="W60" s="194">
        <f t="shared" si="64"/>
        <v>1.822165921</v>
      </c>
      <c r="X60" s="194">
        <f t="shared" si="64"/>
        <v>1.869689049</v>
      </c>
      <c r="Y60" s="194">
        <f t="shared" si="64"/>
        <v>1.915241475</v>
      </c>
      <c r="Z60" s="194">
        <f t="shared" si="64"/>
        <v>1.958943291</v>
      </c>
      <c r="AA60" s="194">
        <f t="shared" si="64"/>
        <v>2.000905027</v>
      </c>
      <c r="AB60" s="194">
        <f t="shared" si="64"/>
        <v>2.041228582</v>
      </c>
      <c r="AC60" s="194">
        <f t="shared" si="64"/>
        <v>2.052182739</v>
      </c>
      <c r="AD60" s="194">
        <f t="shared" si="64"/>
        <v>2.063135802</v>
      </c>
      <c r="AE60" s="194">
        <f t="shared" si="64"/>
        <v>2.074087136</v>
      </c>
      <c r="AF60" s="194">
        <f t="shared" si="64"/>
        <v>2.085036105</v>
      </c>
      <c r="AG60" s="194">
        <f t="shared" si="64"/>
        <v>2.095982074</v>
      </c>
      <c r="AH60" s="194">
        <f t="shared" si="64"/>
        <v>2.106924411</v>
      </c>
      <c r="AI60" s="194">
        <f t="shared" si="64"/>
        <v>1.964193482</v>
      </c>
      <c r="AJ60" s="194">
        <f t="shared" si="64"/>
        <v>1.972621984</v>
      </c>
      <c r="AK60" s="194">
        <f t="shared" si="64"/>
        <v>1.981052575</v>
      </c>
      <c r="AL60" s="194">
        <f t="shared" si="64"/>
        <v>1.989484964</v>
      </c>
      <c r="AM60" s="194">
        <f t="shared" si="64"/>
        <v>1.997918863</v>
      </c>
      <c r="AN60" s="194">
        <f t="shared" si="64"/>
        <v>2.006353981</v>
      </c>
      <c r="AO60" s="194">
        <f t="shared" si="64"/>
        <v>2.014790028</v>
      </c>
      <c r="AP60" s="194">
        <f t="shared" si="64"/>
        <v>2.023226713</v>
      </c>
      <c r="AQ60" s="194">
        <f t="shared" si="64"/>
        <v>2.031663747</v>
      </c>
      <c r="AR60" s="194">
        <f t="shared" si="64"/>
        <v>2.040100838</v>
      </c>
      <c r="AS60" s="194">
        <f t="shared" si="64"/>
        <v>2.048537695</v>
      </c>
      <c r="AT60" s="194">
        <f t="shared" si="64"/>
        <v>2.05697403</v>
      </c>
      <c r="AU60" s="194">
        <f t="shared" si="64"/>
        <v>1.97358382</v>
      </c>
      <c r="AV60" s="194">
        <f t="shared" si="64"/>
        <v>1.980333906</v>
      </c>
      <c r="AW60" s="194">
        <f t="shared" si="64"/>
        <v>1.987085161</v>
      </c>
      <c r="AX60" s="194">
        <f t="shared" si="64"/>
        <v>1.993837437</v>
      </c>
      <c r="AY60" s="194">
        <f t="shared" si="64"/>
        <v>2.000590584</v>
      </c>
      <c r="AZ60" s="194">
        <f t="shared" si="64"/>
        <v>2.007344454</v>
      </c>
      <c r="BA60" s="194">
        <f t="shared" si="64"/>
        <v>2.014098898</v>
      </c>
      <c r="BB60" s="194">
        <f t="shared" si="64"/>
        <v>2.020853766</v>
      </c>
      <c r="BC60" s="194">
        <f t="shared" si="64"/>
        <v>2.027608909</v>
      </c>
      <c r="BD60" s="194">
        <f t="shared" si="64"/>
        <v>2.034364179</v>
      </c>
      <c r="BE60" s="194">
        <f t="shared" si="64"/>
        <v>2.041119426</v>
      </c>
      <c r="BF60" s="194">
        <f t="shared" si="64"/>
        <v>2.047874501</v>
      </c>
      <c r="BG60" s="194">
        <f t="shared" si="64"/>
        <v>1.97358382</v>
      </c>
      <c r="BH60" s="194">
        <f t="shared" si="64"/>
        <v>1.980333906</v>
      </c>
      <c r="BI60" s="194">
        <f t="shared" si="64"/>
        <v>1.987085161</v>
      </c>
      <c r="BJ60" s="194">
        <f t="shared" si="64"/>
        <v>1.993837437</v>
      </c>
      <c r="BK60" s="194">
        <f t="shared" si="64"/>
        <v>2.000590584</v>
      </c>
      <c r="BL60" s="194">
        <f t="shared" si="64"/>
        <v>2.007344454</v>
      </c>
      <c r="BM60" s="194">
        <f t="shared" si="64"/>
        <v>2.014098898</v>
      </c>
      <c r="BN60" s="194">
        <f t="shared" si="64"/>
        <v>2.020853766</v>
      </c>
      <c r="BO60" s="194">
        <f t="shared" si="64"/>
        <v>2.027608909</v>
      </c>
      <c r="BP60" s="194">
        <f t="shared" si="64"/>
        <v>2.034364179</v>
      </c>
      <c r="BQ60" s="194">
        <f t="shared" si="64"/>
        <v>2.041119426</v>
      </c>
      <c r="BR60" s="194">
        <f t="shared" si="64"/>
        <v>2.047874501</v>
      </c>
    </row>
    <row r="61" ht="14.25" customHeight="1">
      <c r="A61" s="158"/>
      <c r="B61" s="206"/>
      <c r="C61" s="25"/>
      <c r="D61" s="25"/>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row>
    <row r="62" ht="14.25" customHeight="1">
      <c r="A62" s="158"/>
      <c r="B62" s="206" t="s">
        <v>188</v>
      </c>
      <c r="C62" s="25"/>
      <c r="D62" s="25"/>
      <c r="E62" s="209">
        <f t="shared" ref="E62:I62" si="65">IFERROR(E25/E6,"")</f>
        <v>0.05</v>
      </c>
      <c r="F62" s="209">
        <f t="shared" si="65"/>
        <v>0.04</v>
      </c>
      <c r="G62" s="209">
        <f t="shared" si="65"/>
        <v>0.02</v>
      </c>
      <c r="H62" s="209">
        <f t="shared" si="65"/>
        <v>0.02</v>
      </c>
      <c r="I62" s="209">
        <f t="shared" si="65"/>
        <v>0.02</v>
      </c>
      <c r="J62" s="209"/>
      <c r="K62" s="209">
        <f t="shared" ref="K62:BR62" si="66">IFERROR(K25/K6,"")</f>
        <v>0.05</v>
      </c>
      <c r="L62" s="209">
        <f t="shared" si="66"/>
        <v>0.05</v>
      </c>
      <c r="M62" s="209">
        <f t="shared" si="66"/>
        <v>0.05</v>
      </c>
      <c r="N62" s="209">
        <f t="shared" si="66"/>
        <v>0.05</v>
      </c>
      <c r="O62" s="209">
        <f t="shared" si="66"/>
        <v>0.05</v>
      </c>
      <c r="P62" s="209">
        <f t="shared" si="66"/>
        <v>0.05</v>
      </c>
      <c r="Q62" s="209">
        <f t="shared" si="66"/>
        <v>0.05</v>
      </c>
      <c r="R62" s="209">
        <f t="shared" si="66"/>
        <v>0.05</v>
      </c>
      <c r="S62" s="209">
        <f t="shared" si="66"/>
        <v>0.05</v>
      </c>
      <c r="T62" s="209">
        <f t="shared" si="66"/>
        <v>0.05</v>
      </c>
      <c r="U62" s="209">
        <f t="shared" si="66"/>
        <v>0.05</v>
      </c>
      <c r="V62" s="209">
        <f t="shared" si="66"/>
        <v>0.05</v>
      </c>
      <c r="W62" s="209">
        <f t="shared" si="66"/>
        <v>0.04</v>
      </c>
      <c r="X62" s="209">
        <f t="shared" si="66"/>
        <v>0.04</v>
      </c>
      <c r="Y62" s="209">
        <f t="shared" si="66"/>
        <v>0.04</v>
      </c>
      <c r="Z62" s="209">
        <f t="shared" si="66"/>
        <v>0.04</v>
      </c>
      <c r="AA62" s="209">
        <f t="shared" si="66"/>
        <v>0.04</v>
      </c>
      <c r="AB62" s="209">
        <f t="shared" si="66"/>
        <v>0.04</v>
      </c>
      <c r="AC62" s="209">
        <f t="shared" si="66"/>
        <v>0.04</v>
      </c>
      <c r="AD62" s="209">
        <f t="shared" si="66"/>
        <v>0.04</v>
      </c>
      <c r="AE62" s="209">
        <f t="shared" si="66"/>
        <v>0.04</v>
      </c>
      <c r="AF62" s="209">
        <f t="shared" si="66"/>
        <v>0.04</v>
      </c>
      <c r="AG62" s="209">
        <f t="shared" si="66"/>
        <v>0.04</v>
      </c>
      <c r="AH62" s="209">
        <f t="shared" si="66"/>
        <v>0.04</v>
      </c>
      <c r="AI62" s="209">
        <f t="shared" si="66"/>
        <v>0.02</v>
      </c>
      <c r="AJ62" s="209">
        <f t="shared" si="66"/>
        <v>0.02</v>
      </c>
      <c r="AK62" s="209">
        <f t="shared" si="66"/>
        <v>0.02</v>
      </c>
      <c r="AL62" s="209">
        <f t="shared" si="66"/>
        <v>0.02</v>
      </c>
      <c r="AM62" s="209">
        <f t="shared" si="66"/>
        <v>0.02</v>
      </c>
      <c r="AN62" s="209">
        <f t="shared" si="66"/>
        <v>0.02</v>
      </c>
      <c r="AO62" s="209">
        <f t="shared" si="66"/>
        <v>0.02</v>
      </c>
      <c r="AP62" s="209">
        <f t="shared" si="66"/>
        <v>0.02</v>
      </c>
      <c r="AQ62" s="209">
        <f t="shared" si="66"/>
        <v>0.02</v>
      </c>
      <c r="AR62" s="209">
        <f t="shared" si="66"/>
        <v>0.02</v>
      </c>
      <c r="AS62" s="209">
        <f t="shared" si="66"/>
        <v>0.02</v>
      </c>
      <c r="AT62" s="209">
        <f t="shared" si="66"/>
        <v>0.02</v>
      </c>
      <c r="AU62" s="209">
        <f t="shared" si="66"/>
        <v>0.02</v>
      </c>
      <c r="AV62" s="209">
        <f t="shared" si="66"/>
        <v>0.02</v>
      </c>
      <c r="AW62" s="209">
        <f t="shared" si="66"/>
        <v>0.02</v>
      </c>
      <c r="AX62" s="209">
        <f t="shared" si="66"/>
        <v>0.02</v>
      </c>
      <c r="AY62" s="209">
        <f t="shared" si="66"/>
        <v>0.02</v>
      </c>
      <c r="AZ62" s="209">
        <f t="shared" si="66"/>
        <v>0.02</v>
      </c>
      <c r="BA62" s="209">
        <f t="shared" si="66"/>
        <v>0.02</v>
      </c>
      <c r="BB62" s="209">
        <f t="shared" si="66"/>
        <v>0.02</v>
      </c>
      <c r="BC62" s="209">
        <f t="shared" si="66"/>
        <v>0.02</v>
      </c>
      <c r="BD62" s="209">
        <f t="shared" si="66"/>
        <v>0.02</v>
      </c>
      <c r="BE62" s="209">
        <f t="shared" si="66"/>
        <v>0.02</v>
      </c>
      <c r="BF62" s="209">
        <f t="shared" si="66"/>
        <v>0.02</v>
      </c>
      <c r="BG62" s="209">
        <f t="shared" si="66"/>
        <v>0.02</v>
      </c>
      <c r="BH62" s="209">
        <f t="shared" si="66"/>
        <v>0.02</v>
      </c>
      <c r="BI62" s="209">
        <f t="shared" si="66"/>
        <v>0.02</v>
      </c>
      <c r="BJ62" s="209">
        <f t="shared" si="66"/>
        <v>0.02</v>
      </c>
      <c r="BK62" s="209">
        <f t="shared" si="66"/>
        <v>0.02</v>
      </c>
      <c r="BL62" s="209">
        <f t="shared" si="66"/>
        <v>0.02</v>
      </c>
      <c r="BM62" s="209">
        <f t="shared" si="66"/>
        <v>0.02</v>
      </c>
      <c r="BN62" s="209">
        <f t="shared" si="66"/>
        <v>0.02</v>
      </c>
      <c r="BO62" s="209">
        <f t="shared" si="66"/>
        <v>0.02</v>
      </c>
      <c r="BP62" s="209">
        <f t="shared" si="66"/>
        <v>0.02</v>
      </c>
      <c r="BQ62" s="209">
        <f t="shared" si="66"/>
        <v>0.02</v>
      </c>
      <c r="BR62" s="209">
        <f t="shared" si="66"/>
        <v>0.02</v>
      </c>
    </row>
    <row r="63" ht="14.25" customHeight="1">
      <c r="A63" s="158"/>
      <c r="B63" s="206" t="s">
        <v>189</v>
      </c>
      <c r="C63" s="25"/>
      <c r="D63" s="25"/>
      <c r="E63" s="209">
        <f t="shared" ref="E63:I63" si="67">IFERROR(E27/(E26+E17),"")</f>
        <v>0.2</v>
      </c>
      <c r="F63" s="209">
        <f t="shared" si="67"/>
        <v>0.2</v>
      </c>
      <c r="G63" s="209">
        <f t="shared" si="67"/>
        <v>0.2</v>
      </c>
      <c r="H63" s="209">
        <f t="shared" si="67"/>
        <v>0.2</v>
      </c>
      <c r="I63" s="209">
        <f t="shared" si="67"/>
        <v>0.2</v>
      </c>
      <c r="J63" s="209"/>
      <c r="K63" s="209">
        <f t="shared" ref="K63:BR63" si="68">IFERROR(K27/(K26+K17),"")</f>
        <v>0.2</v>
      </c>
      <c r="L63" s="209">
        <f t="shared" si="68"/>
        <v>0.2</v>
      </c>
      <c r="M63" s="209">
        <f t="shared" si="68"/>
        <v>0.2</v>
      </c>
      <c r="N63" s="209">
        <f t="shared" si="68"/>
        <v>0.2</v>
      </c>
      <c r="O63" s="209">
        <f t="shared" si="68"/>
        <v>0.2</v>
      </c>
      <c r="P63" s="209">
        <f t="shared" si="68"/>
        <v>0.2</v>
      </c>
      <c r="Q63" s="209">
        <f t="shared" si="68"/>
        <v>0.2</v>
      </c>
      <c r="R63" s="209">
        <f t="shared" si="68"/>
        <v>0.2</v>
      </c>
      <c r="S63" s="209">
        <f t="shared" si="68"/>
        <v>0.2</v>
      </c>
      <c r="T63" s="209">
        <f t="shared" si="68"/>
        <v>0.2</v>
      </c>
      <c r="U63" s="209">
        <f t="shared" si="68"/>
        <v>0.2</v>
      </c>
      <c r="V63" s="209">
        <f t="shared" si="68"/>
        <v>0.2</v>
      </c>
      <c r="W63" s="209">
        <f t="shared" si="68"/>
        <v>0.2</v>
      </c>
      <c r="X63" s="209">
        <f t="shared" si="68"/>
        <v>0.2</v>
      </c>
      <c r="Y63" s="209">
        <f t="shared" si="68"/>
        <v>0.2</v>
      </c>
      <c r="Z63" s="209">
        <f t="shared" si="68"/>
        <v>0.2</v>
      </c>
      <c r="AA63" s="209">
        <f t="shared" si="68"/>
        <v>0.2</v>
      </c>
      <c r="AB63" s="209">
        <f t="shared" si="68"/>
        <v>0.2</v>
      </c>
      <c r="AC63" s="209">
        <f t="shared" si="68"/>
        <v>0.2</v>
      </c>
      <c r="AD63" s="209">
        <f t="shared" si="68"/>
        <v>0.2</v>
      </c>
      <c r="AE63" s="209">
        <f t="shared" si="68"/>
        <v>0.2</v>
      </c>
      <c r="AF63" s="209">
        <f t="shared" si="68"/>
        <v>0.2</v>
      </c>
      <c r="AG63" s="209">
        <f t="shared" si="68"/>
        <v>0.2</v>
      </c>
      <c r="AH63" s="209">
        <f t="shared" si="68"/>
        <v>0.2</v>
      </c>
      <c r="AI63" s="209">
        <f t="shared" si="68"/>
        <v>0.2</v>
      </c>
      <c r="AJ63" s="209">
        <f t="shared" si="68"/>
        <v>0.2</v>
      </c>
      <c r="AK63" s="209">
        <f t="shared" si="68"/>
        <v>0.2</v>
      </c>
      <c r="AL63" s="209">
        <f t="shared" si="68"/>
        <v>0.2</v>
      </c>
      <c r="AM63" s="209">
        <f t="shared" si="68"/>
        <v>0.2</v>
      </c>
      <c r="AN63" s="209">
        <f t="shared" si="68"/>
        <v>0.2</v>
      </c>
      <c r="AO63" s="209">
        <f t="shared" si="68"/>
        <v>0.2</v>
      </c>
      <c r="AP63" s="209">
        <f t="shared" si="68"/>
        <v>0.2</v>
      </c>
      <c r="AQ63" s="209">
        <f t="shared" si="68"/>
        <v>0.2</v>
      </c>
      <c r="AR63" s="209">
        <f t="shared" si="68"/>
        <v>0.2</v>
      </c>
      <c r="AS63" s="209">
        <f t="shared" si="68"/>
        <v>0.2</v>
      </c>
      <c r="AT63" s="209">
        <f t="shared" si="68"/>
        <v>0.2</v>
      </c>
      <c r="AU63" s="209">
        <f t="shared" si="68"/>
        <v>0.2</v>
      </c>
      <c r="AV63" s="209">
        <f t="shared" si="68"/>
        <v>0.2</v>
      </c>
      <c r="AW63" s="209">
        <f t="shared" si="68"/>
        <v>0.2</v>
      </c>
      <c r="AX63" s="209">
        <f t="shared" si="68"/>
        <v>0.2</v>
      </c>
      <c r="AY63" s="209">
        <f t="shared" si="68"/>
        <v>0.2</v>
      </c>
      <c r="AZ63" s="209">
        <f t="shared" si="68"/>
        <v>0.2</v>
      </c>
      <c r="BA63" s="209">
        <f t="shared" si="68"/>
        <v>0.2</v>
      </c>
      <c r="BB63" s="209">
        <f t="shared" si="68"/>
        <v>0.2</v>
      </c>
      <c r="BC63" s="209">
        <f t="shared" si="68"/>
        <v>0.2</v>
      </c>
      <c r="BD63" s="209">
        <f t="shared" si="68"/>
        <v>0.2</v>
      </c>
      <c r="BE63" s="209">
        <f t="shared" si="68"/>
        <v>0.2</v>
      </c>
      <c r="BF63" s="209">
        <f t="shared" si="68"/>
        <v>0.2</v>
      </c>
      <c r="BG63" s="209">
        <f t="shared" si="68"/>
        <v>0.2</v>
      </c>
      <c r="BH63" s="209">
        <f t="shared" si="68"/>
        <v>0.2</v>
      </c>
      <c r="BI63" s="209">
        <f t="shared" si="68"/>
        <v>0.2</v>
      </c>
      <c r="BJ63" s="209">
        <f t="shared" si="68"/>
        <v>0.2</v>
      </c>
      <c r="BK63" s="209">
        <f t="shared" si="68"/>
        <v>0.2</v>
      </c>
      <c r="BL63" s="209">
        <f t="shared" si="68"/>
        <v>0.2</v>
      </c>
      <c r="BM63" s="209">
        <f t="shared" si="68"/>
        <v>0.2</v>
      </c>
      <c r="BN63" s="209">
        <f t="shared" si="68"/>
        <v>0.2</v>
      </c>
      <c r="BO63" s="209">
        <f t="shared" si="68"/>
        <v>0.2</v>
      </c>
      <c r="BP63" s="209">
        <f t="shared" si="68"/>
        <v>0.2</v>
      </c>
      <c r="BQ63" s="209">
        <f t="shared" si="68"/>
        <v>0.2</v>
      </c>
      <c r="BR63" s="209">
        <f t="shared" si="68"/>
        <v>0.2</v>
      </c>
    </row>
    <row r="64" ht="14.25" customHeight="1">
      <c r="A64" s="158"/>
      <c r="B64" s="206" t="s">
        <v>190</v>
      </c>
      <c r="C64" s="25"/>
      <c r="D64" s="25"/>
      <c r="E64" s="209">
        <f t="shared" ref="E64:I64" si="69">IFERROR(E28/E6,"")</f>
        <v>0.03</v>
      </c>
      <c r="F64" s="209">
        <f t="shared" si="69"/>
        <v>0.03</v>
      </c>
      <c r="G64" s="209">
        <f t="shared" si="69"/>
        <v>0.03</v>
      </c>
      <c r="H64" s="209">
        <f t="shared" si="69"/>
        <v>0.03</v>
      </c>
      <c r="I64" s="209">
        <f t="shared" si="69"/>
        <v>0.03</v>
      </c>
      <c r="J64" s="209"/>
      <c r="K64" s="209">
        <f t="shared" ref="K64:BR64" si="70">IFERROR(K28/K6,"")</f>
        <v>0.03</v>
      </c>
      <c r="L64" s="209">
        <f t="shared" si="70"/>
        <v>0.03</v>
      </c>
      <c r="M64" s="209">
        <f t="shared" si="70"/>
        <v>0.03</v>
      </c>
      <c r="N64" s="209">
        <f t="shared" si="70"/>
        <v>0.03</v>
      </c>
      <c r="O64" s="209">
        <f t="shared" si="70"/>
        <v>0.03</v>
      </c>
      <c r="P64" s="209">
        <f t="shared" si="70"/>
        <v>0.03</v>
      </c>
      <c r="Q64" s="209">
        <f t="shared" si="70"/>
        <v>0.03</v>
      </c>
      <c r="R64" s="209">
        <f t="shared" si="70"/>
        <v>0.03</v>
      </c>
      <c r="S64" s="209">
        <f t="shared" si="70"/>
        <v>0.03</v>
      </c>
      <c r="T64" s="209">
        <f t="shared" si="70"/>
        <v>0.03</v>
      </c>
      <c r="U64" s="209">
        <f t="shared" si="70"/>
        <v>0.03</v>
      </c>
      <c r="V64" s="209">
        <f t="shared" si="70"/>
        <v>0.03</v>
      </c>
      <c r="W64" s="209">
        <f t="shared" si="70"/>
        <v>0.03</v>
      </c>
      <c r="X64" s="209">
        <f t="shared" si="70"/>
        <v>0.03</v>
      </c>
      <c r="Y64" s="209">
        <f t="shared" si="70"/>
        <v>0.03</v>
      </c>
      <c r="Z64" s="209">
        <f t="shared" si="70"/>
        <v>0.03</v>
      </c>
      <c r="AA64" s="209">
        <f t="shared" si="70"/>
        <v>0.03</v>
      </c>
      <c r="AB64" s="209">
        <f t="shared" si="70"/>
        <v>0.03</v>
      </c>
      <c r="AC64" s="209">
        <f t="shared" si="70"/>
        <v>0.03</v>
      </c>
      <c r="AD64" s="209">
        <f t="shared" si="70"/>
        <v>0.03</v>
      </c>
      <c r="AE64" s="209">
        <f t="shared" si="70"/>
        <v>0.03</v>
      </c>
      <c r="AF64" s="209">
        <f t="shared" si="70"/>
        <v>0.03</v>
      </c>
      <c r="AG64" s="209">
        <f t="shared" si="70"/>
        <v>0.03</v>
      </c>
      <c r="AH64" s="209">
        <f t="shared" si="70"/>
        <v>0.03</v>
      </c>
      <c r="AI64" s="209">
        <f t="shared" si="70"/>
        <v>0.03</v>
      </c>
      <c r="AJ64" s="209">
        <f t="shared" si="70"/>
        <v>0.03</v>
      </c>
      <c r="AK64" s="209">
        <f t="shared" si="70"/>
        <v>0.03</v>
      </c>
      <c r="AL64" s="209">
        <f t="shared" si="70"/>
        <v>0.03</v>
      </c>
      <c r="AM64" s="209">
        <f t="shared" si="70"/>
        <v>0.03</v>
      </c>
      <c r="AN64" s="209">
        <f t="shared" si="70"/>
        <v>0.03</v>
      </c>
      <c r="AO64" s="209">
        <f t="shared" si="70"/>
        <v>0.03</v>
      </c>
      <c r="AP64" s="209">
        <f t="shared" si="70"/>
        <v>0.03</v>
      </c>
      <c r="AQ64" s="209">
        <f t="shared" si="70"/>
        <v>0.03</v>
      </c>
      <c r="AR64" s="209">
        <f t="shared" si="70"/>
        <v>0.03</v>
      </c>
      <c r="AS64" s="209">
        <f t="shared" si="70"/>
        <v>0.03</v>
      </c>
      <c r="AT64" s="209">
        <f t="shared" si="70"/>
        <v>0.03</v>
      </c>
      <c r="AU64" s="209">
        <f t="shared" si="70"/>
        <v>0.03</v>
      </c>
      <c r="AV64" s="209">
        <f t="shared" si="70"/>
        <v>0.03</v>
      </c>
      <c r="AW64" s="209">
        <f t="shared" si="70"/>
        <v>0.03</v>
      </c>
      <c r="AX64" s="209">
        <f t="shared" si="70"/>
        <v>0.03</v>
      </c>
      <c r="AY64" s="209">
        <f t="shared" si="70"/>
        <v>0.03</v>
      </c>
      <c r="AZ64" s="209">
        <f t="shared" si="70"/>
        <v>0.03</v>
      </c>
      <c r="BA64" s="209">
        <f t="shared" si="70"/>
        <v>0.03</v>
      </c>
      <c r="BB64" s="209">
        <f t="shared" si="70"/>
        <v>0.03</v>
      </c>
      <c r="BC64" s="209">
        <f t="shared" si="70"/>
        <v>0.03</v>
      </c>
      <c r="BD64" s="209">
        <f t="shared" si="70"/>
        <v>0.03</v>
      </c>
      <c r="BE64" s="209">
        <f t="shared" si="70"/>
        <v>0.03</v>
      </c>
      <c r="BF64" s="209">
        <f t="shared" si="70"/>
        <v>0.03</v>
      </c>
      <c r="BG64" s="209">
        <f t="shared" si="70"/>
        <v>0.03</v>
      </c>
      <c r="BH64" s="209">
        <f t="shared" si="70"/>
        <v>0.03</v>
      </c>
      <c r="BI64" s="209">
        <f t="shared" si="70"/>
        <v>0.03</v>
      </c>
      <c r="BJ64" s="209">
        <f t="shared" si="70"/>
        <v>0.03</v>
      </c>
      <c r="BK64" s="209">
        <f t="shared" si="70"/>
        <v>0.03</v>
      </c>
      <c r="BL64" s="209">
        <f t="shared" si="70"/>
        <v>0.03</v>
      </c>
      <c r="BM64" s="209">
        <f t="shared" si="70"/>
        <v>0.03</v>
      </c>
      <c r="BN64" s="209">
        <f t="shared" si="70"/>
        <v>0.03</v>
      </c>
      <c r="BO64" s="209">
        <f t="shared" si="70"/>
        <v>0.03</v>
      </c>
      <c r="BP64" s="209">
        <f t="shared" si="70"/>
        <v>0.03</v>
      </c>
      <c r="BQ64" s="209">
        <f t="shared" si="70"/>
        <v>0.03</v>
      </c>
      <c r="BR64" s="209">
        <f t="shared" si="70"/>
        <v>0.03</v>
      </c>
    </row>
    <row r="65" ht="14.25" customHeight="1">
      <c r="A65" s="158"/>
      <c r="E65" s="192"/>
      <c r="F65" s="192"/>
      <c r="G65" s="192"/>
      <c r="H65" s="192"/>
      <c r="I65" s="192"/>
      <c r="J65" s="192"/>
    </row>
    <row r="66" ht="14.25" customHeight="1">
      <c r="A66" s="158"/>
      <c r="E66" s="192"/>
      <c r="F66" s="192"/>
      <c r="G66" s="192"/>
      <c r="H66" s="192"/>
      <c r="I66" s="192"/>
      <c r="J66" s="192"/>
    </row>
    <row r="67" ht="14.25" customHeight="1">
      <c r="A67" s="158"/>
      <c r="E67" s="192"/>
      <c r="F67" s="192"/>
      <c r="G67" s="192"/>
      <c r="H67" s="192"/>
      <c r="I67" s="192"/>
      <c r="J67" s="192"/>
    </row>
    <row r="68" ht="14.25" customHeight="1">
      <c r="A68" s="158"/>
      <c r="E68" s="192"/>
      <c r="F68" s="192"/>
      <c r="G68" s="192"/>
      <c r="H68" s="192"/>
      <c r="I68" s="192"/>
      <c r="J68" s="192"/>
    </row>
    <row r="69" ht="14.25" customHeight="1">
      <c r="A69" s="158"/>
      <c r="E69" s="192"/>
      <c r="F69" s="192"/>
      <c r="G69" s="192"/>
      <c r="H69" s="192"/>
      <c r="I69" s="192"/>
      <c r="J69" s="192"/>
    </row>
    <row r="70" ht="14.25" customHeight="1">
      <c r="A70" s="158"/>
      <c r="E70" s="192"/>
      <c r="F70" s="192"/>
      <c r="G70" s="192"/>
      <c r="H70" s="192"/>
      <c r="I70" s="192"/>
      <c r="J70" s="192"/>
    </row>
    <row r="71" ht="14.25" customHeight="1">
      <c r="A71" s="158"/>
      <c r="E71" s="192"/>
      <c r="F71" s="192"/>
      <c r="G71" s="192"/>
      <c r="H71" s="192"/>
      <c r="I71" s="192"/>
      <c r="J71" s="192"/>
    </row>
    <row r="72" ht="14.25" customHeight="1">
      <c r="A72" s="158"/>
      <c r="E72" s="192"/>
      <c r="F72" s="192"/>
      <c r="G72" s="192"/>
      <c r="H72" s="192"/>
      <c r="I72" s="192"/>
      <c r="J72" s="192"/>
    </row>
    <row r="73" ht="14.25" customHeight="1">
      <c r="A73" s="158"/>
      <c r="E73" s="192"/>
      <c r="F73" s="192"/>
      <c r="G73" s="192"/>
      <c r="H73" s="192"/>
      <c r="I73" s="192"/>
      <c r="J73" s="192"/>
    </row>
    <row r="74" ht="14.25" customHeight="1">
      <c r="A74" s="158"/>
      <c r="E74" s="192"/>
      <c r="F74" s="192"/>
      <c r="G74" s="192"/>
      <c r="H74" s="192"/>
      <c r="I74" s="192"/>
      <c r="J74" s="192"/>
    </row>
    <row r="75" ht="14.25" customHeight="1">
      <c r="A75" s="158"/>
      <c r="E75" s="192"/>
      <c r="F75" s="192"/>
      <c r="G75" s="192"/>
      <c r="H75" s="192"/>
      <c r="I75" s="192"/>
      <c r="J75" s="192"/>
    </row>
    <row r="76" ht="14.25" customHeight="1">
      <c r="A76" s="158"/>
      <c r="E76" s="192"/>
      <c r="F76" s="192"/>
      <c r="G76" s="192"/>
      <c r="H76" s="192"/>
      <c r="I76" s="192"/>
      <c r="J76" s="192"/>
    </row>
    <row r="77" ht="14.25" customHeight="1">
      <c r="A77" s="158"/>
      <c r="E77" s="192"/>
      <c r="F77" s="192"/>
      <c r="G77" s="192"/>
      <c r="H77" s="192"/>
      <c r="I77" s="192"/>
      <c r="J77" s="192"/>
    </row>
    <row r="78" ht="14.25" customHeight="1">
      <c r="A78" s="158"/>
      <c r="E78" s="192"/>
      <c r="F78" s="192"/>
      <c r="G78" s="192"/>
      <c r="H78" s="192"/>
      <c r="I78" s="192"/>
      <c r="J78" s="192"/>
    </row>
    <row r="79" ht="14.25" customHeight="1">
      <c r="A79" s="158"/>
      <c r="E79" s="192"/>
      <c r="F79" s="192"/>
      <c r="G79" s="192"/>
      <c r="H79" s="192"/>
      <c r="I79" s="192"/>
      <c r="J79" s="192"/>
    </row>
    <row r="80" ht="14.25" customHeight="1">
      <c r="A80" s="158"/>
      <c r="E80" s="192"/>
      <c r="F80" s="192"/>
      <c r="G80" s="192"/>
      <c r="H80" s="192"/>
      <c r="I80" s="192"/>
      <c r="J80" s="192"/>
    </row>
    <row r="81" ht="14.25" customHeight="1">
      <c r="A81" s="158"/>
      <c r="E81" s="192"/>
      <c r="F81" s="192"/>
      <c r="G81" s="192"/>
      <c r="H81" s="192"/>
      <c r="I81" s="192"/>
      <c r="J81" s="192"/>
    </row>
    <row r="82" ht="14.25" customHeight="1">
      <c r="A82" s="158"/>
      <c r="E82" s="192"/>
      <c r="F82" s="192"/>
      <c r="G82" s="192"/>
      <c r="H82" s="192"/>
      <c r="I82" s="192"/>
      <c r="J82" s="192"/>
    </row>
    <row r="83" ht="14.25" customHeight="1">
      <c r="A83" s="158"/>
      <c r="E83" s="192"/>
      <c r="F83" s="192"/>
      <c r="G83" s="192"/>
      <c r="H83" s="192"/>
      <c r="I83" s="192"/>
      <c r="J83" s="192"/>
    </row>
    <row r="84" ht="14.25" customHeight="1">
      <c r="A84" s="158"/>
      <c r="E84" s="192"/>
      <c r="F84" s="192"/>
      <c r="G84" s="192"/>
      <c r="H84" s="192"/>
      <c r="I84" s="192"/>
      <c r="J84" s="192"/>
    </row>
    <row r="85" ht="14.25" customHeight="1">
      <c r="A85" s="158"/>
      <c r="E85" s="192"/>
      <c r="F85" s="192"/>
      <c r="G85" s="192"/>
      <c r="H85" s="192"/>
      <c r="I85" s="192"/>
      <c r="J85" s="192"/>
    </row>
    <row r="86" ht="14.25" customHeight="1">
      <c r="A86" s="158"/>
      <c r="E86" s="192"/>
      <c r="F86" s="192"/>
      <c r="G86" s="192"/>
      <c r="H86" s="192"/>
      <c r="I86" s="192"/>
      <c r="J86" s="192"/>
    </row>
    <row r="87" ht="14.25" customHeight="1">
      <c r="A87" s="158"/>
      <c r="E87" s="192"/>
      <c r="F87" s="192"/>
      <c r="G87" s="192"/>
      <c r="H87" s="192"/>
      <c r="I87" s="192"/>
      <c r="J87" s="192"/>
    </row>
    <row r="88" ht="14.25" customHeight="1">
      <c r="A88" s="158"/>
      <c r="E88" s="192"/>
      <c r="F88" s="192"/>
      <c r="G88" s="192"/>
      <c r="H88" s="192"/>
      <c r="I88" s="192"/>
      <c r="J88" s="192"/>
    </row>
    <row r="89" ht="14.25" customHeight="1">
      <c r="A89" s="158"/>
      <c r="E89" s="192"/>
      <c r="F89" s="192"/>
      <c r="G89" s="192"/>
      <c r="H89" s="192"/>
      <c r="I89" s="192"/>
      <c r="J89" s="192"/>
    </row>
    <row r="90" ht="14.25" customHeight="1">
      <c r="A90" s="158"/>
      <c r="E90" s="192"/>
      <c r="F90" s="192"/>
      <c r="G90" s="192"/>
      <c r="H90" s="192"/>
      <c r="I90" s="192"/>
      <c r="J90" s="192"/>
    </row>
    <row r="91" ht="14.25" customHeight="1">
      <c r="A91" s="158"/>
      <c r="E91" s="192"/>
      <c r="F91" s="192"/>
      <c r="G91" s="192"/>
      <c r="H91" s="192"/>
      <c r="I91" s="192"/>
      <c r="J91" s="192"/>
    </row>
    <row r="92" ht="14.25" customHeight="1">
      <c r="A92" s="158"/>
      <c r="E92" s="192"/>
      <c r="F92" s="192"/>
      <c r="G92" s="192"/>
      <c r="H92" s="192"/>
      <c r="I92" s="192"/>
      <c r="J92" s="192"/>
    </row>
    <row r="93" ht="14.25" customHeight="1">
      <c r="A93" s="158"/>
      <c r="E93" s="192"/>
      <c r="F93" s="192"/>
      <c r="G93" s="192"/>
      <c r="H93" s="192"/>
      <c r="I93" s="192"/>
      <c r="J93" s="192"/>
    </row>
    <row r="94" ht="14.25" customHeight="1">
      <c r="A94" s="158"/>
      <c r="E94" s="192"/>
      <c r="F94" s="192"/>
      <c r="G94" s="192"/>
      <c r="H94" s="192"/>
      <c r="I94" s="192"/>
      <c r="J94" s="192"/>
    </row>
    <row r="95" ht="14.25" customHeight="1">
      <c r="A95" s="158"/>
      <c r="E95" s="192"/>
      <c r="F95" s="192"/>
      <c r="G95" s="192"/>
      <c r="H95" s="192"/>
      <c r="I95" s="192"/>
      <c r="J95" s="192"/>
    </row>
    <row r="96" ht="14.25" customHeight="1">
      <c r="A96" s="158"/>
      <c r="E96" s="192"/>
      <c r="F96" s="192"/>
      <c r="G96" s="192"/>
      <c r="H96" s="192"/>
      <c r="I96" s="192"/>
      <c r="J96" s="192"/>
    </row>
    <row r="97" ht="14.25" customHeight="1">
      <c r="A97" s="158"/>
      <c r="E97" s="192"/>
      <c r="F97" s="192"/>
      <c r="G97" s="192"/>
      <c r="H97" s="192"/>
      <c r="I97" s="192"/>
      <c r="J97" s="192"/>
    </row>
    <row r="98" ht="14.25" customHeight="1">
      <c r="A98" s="158"/>
      <c r="E98" s="192"/>
      <c r="F98" s="192"/>
      <c r="G98" s="192"/>
      <c r="H98" s="192"/>
      <c r="I98" s="192"/>
      <c r="J98" s="192"/>
    </row>
    <row r="99" ht="14.25" customHeight="1">
      <c r="A99" s="158"/>
      <c r="E99" s="192"/>
      <c r="F99" s="192"/>
      <c r="G99" s="192"/>
      <c r="H99" s="192"/>
      <c r="I99" s="192"/>
      <c r="J99" s="192"/>
    </row>
    <row r="100" ht="14.25" customHeight="1">
      <c r="A100" s="158"/>
      <c r="E100" s="192"/>
      <c r="F100" s="192"/>
      <c r="G100" s="192"/>
      <c r="H100" s="192"/>
      <c r="I100" s="192"/>
      <c r="J100" s="192"/>
    </row>
    <row r="101" ht="14.25" customHeight="1">
      <c r="A101" s="158"/>
      <c r="E101" s="192"/>
      <c r="F101" s="192"/>
      <c r="G101" s="192"/>
      <c r="H101" s="192"/>
      <c r="I101" s="192"/>
      <c r="J101" s="192"/>
    </row>
    <row r="102" ht="14.25" customHeight="1">
      <c r="A102" s="158"/>
      <c r="E102" s="192"/>
      <c r="F102" s="192"/>
      <c r="G102" s="192"/>
      <c r="H102" s="192"/>
      <c r="I102" s="192"/>
      <c r="J102" s="192"/>
    </row>
    <row r="103" ht="14.25" customHeight="1">
      <c r="A103" s="158"/>
      <c r="E103" s="192"/>
      <c r="F103" s="192"/>
      <c r="G103" s="192"/>
      <c r="H103" s="192"/>
      <c r="I103" s="192"/>
      <c r="J103" s="192"/>
    </row>
    <row r="104" ht="14.25" customHeight="1">
      <c r="A104" s="158"/>
      <c r="E104" s="192"/>
      <c r="F104" s="192"/>
      <c r="G104" s="192"/>
      <c r="H104" s="192"/>
      <c r="I104" s="192"/>
      <c r="J104" s="192"/>
    </row>
    <row r="105" ht="14.25" customHeight="1">
      <c r="A105" s="158"/>
      <c r="E105" s="192"/>
      <c r="F105" s="192"/>
      <c r="G105" s="192"/>
      <c r="H105" s="192"/>
      <c r="I105" s="192"/>
      <c r="J105" s="192"/>
    </row>
    <row r="106" ht="14.25" customHeight="1">
      <c r="A106" s="158"/>
      <c r="E106" s="192"/>
      <c r="F106" s="192"/>
      <c r="G106" s="192"/>
      <c r="H106" s="192"/>
      <c r="I106" s="192"/>
      <c r="J106" s="192"/>
    </row>
    <row r="107" ht="14.25" customHeight="1">
      <c r="A107" s="158"/>
      <c r="E107" s="192"/>
      <c r="F107" s="192"/>
      <c r="G107" s="192"/>
      <c r="H107" s="192"/>
      <c r="I107" s="192"/>
      <c r="J107" s="192"/>
    </row>
    <row r="108" ht="14.25" customHeight="1">
      <c r="A108" s="158"/>
      <c r="E108" s="192"/>
      <c r="F108" s="192"/>
      <c r="G108" s="192"/>
      <c r="H108" s="192"/>
      <c r="I108" s="192"/>
      <c r="J108" s="192"/>
    </row>
    <row r="109" ht="14.25" customHeight="1">
      <c r="A109" s="158"/>
      <c r="E109" s="192"/>
      <c r="F109" s="192"/>
      <c r="G109" s="192"/>
      <c r="H109" s="192"/>
      <c r="I109" s="192"/>
      <c r="J109" s="192"/>
    </row>
    <row r="110" ht="14.25" customHeight="1">
      <c r="A110" s="158"/>
      <c r="E110" s="192"/>
      <c r="F110" s="192"/>
      <c r="G110" s="192"/>
      <c r="H110" s="192"/>
      <c r="I110" s="192"/>
      <c r="J110" s="192"/>
    </row>
    <row r="111" ht="14.25" customHeight="1">
      <c r="A111" s="158"/>
      <c r="E111" s="192"/>
      <c r="F111" s="192"/>
      <c r="G111" s="192"/>
      <c r="H111" s="192"/>
      <c r="I111" s="192"/>
      <c r="J111" s="192"/>
    </row>
    <row r="112" ht="14.25" customHeight="1">
      <c r="A112" s="158"/>
      <c r="E112" s="192"/>
      <c r="F112" s="192"/>
      <c r="G112" s="192"/>
      <c r="H112" s="192"/>
      <c r="I112" s="192"/>
      <c r="J112" s="192"/>
    </row>
    <row r="113" ht="14.25" customHeight="1">
      <c r="A113" s="158"/>
      <c r="E113" s="192"/>
      <c r="F113" s="192"/>
      <c r="G113" s="192"/>
      <c r="H113" s="192"/>
      <c r="I113" s="192"/>
      <c r="J113" s="192"/>
    </row>
    <row r="114" ht="14.25" customHeight="1">
      <c r="A114" s="158"/>
      <c r="E114" s="192"/>
      <c r="F114" s="192"/>
      <c r="G114" s="192"/>
      <c r="H114" s="192"/>
      <c r="I114" s="192"/>
      <c r="J114" s="192"/>
    </row>
    <row r="115" ht="14.25" customHeight="1">
      <c r="A115" s="158"/>
      <c r="E115" s="192"/>
      <c r="F115" s="192"/>
      <c r="G115" s="192"/>
      <c r="H115" s="192"/>
      <c r="I115" s="192"/>
      <c r="J115" s="192"/>
    </row>
    <row r="116" ht="14.25" customHeight="1">
      <c r="A116" s="158"/>
      <c r="E116" s="192"/>
      <c r="F116" s="192"/>
      <c r="G116" s="192"/>
      <c r="H116" s="192"/>
      <c r="I116" s="192"/>
      <c r="J116" s="192"/>
    </row>
    <row r="117" ht="14.25" customHeight="1">
      <c r="A117" s="158"/>
      <c r="E117" s="192"/>
      <c r="F117" s="192"/>
      <c r="G117" s="192"/>
      <c r="H117" s="192"/>
      <c r="I117" s="192"/>
      <c r="J117" s="192"/>
    </row>
    <row r="118" ht="14.25" customHeight="1">
      <c r="A118" s="158"/>
      <c r="E118" s="192"/>
      <c r="F118" s="192"/>
      <c r="G118" s="192"/>
      <c r="H118" s="192"/>
      <c r="I118" s="192"/>
      <c r="J118" s="192"/>
    </row>
    <row r="119" ht="14.25" customHeight="1">
      <c r="A119" s="158"/>
      <c r="E119" s="192"/>
      <c r="F119" s="192"/>
      <c r="G119" s="192"/>
      <c r="H119" s="192"/>
      <c r="I119" s="192"/>
      <c r="J119" s="192"/>
    </row>
    <row r="120" ht="14.25" customHeight="1">
      <c r="A120" s="158"/>
      <c r="E120" s="192"/>
      <c r="F120" s="192"/>
      <c r="G120" s="192"/>
      <c r="H120" s="192"/>
      <c r="I120" s="192"/>
      <c r="J120" s="192"/>
    </row>
    <row r="121" ht="14.25" customHeight="1">
      <c r="A121" s="158"/>
      <c r="E121" s="192"/>
      <c r="F121" s="192"/>
      <c r="G121" s="192"/>
      <c r="H121" s="192"/>
      <c r="I121" s="192"/>
      <c r="J121" s="192"/>
    </row>
    <row r="122" ht="14.25" customHeight="1">
      <c r="A122" s="158"/>
      <c r="E122" s="192"/>
      <c r="F122" s="192"/>
      <c r="G122" s="192"/>
      <c r="H122" s="192"/>
      <c r="I122" s="192"/>
      <c r="J122" s="192"/>
    </row>
    <row r="123" ht="14.25" customHeight="1">
      <c r="A123" s="158"/>
      <c r="E123" s="192"/>
      <c r="F123" s="192"/>
      <c r="G123" s="192"/>
      <c r="H123" s="192"/>
      <c r="I123" s="192"/>
      <c r="J123" s="192"/>
    </row>
    <row r="124" ht="14.25" customHeight="1">
      <c r="A124" s="158"/>
      <c r="E124" s="192"/>
      <c r="F124" s="192"/>
      <c r="G124" s="192"/>
      <c r="H124" s="192"/>
      <c r="I124" s="192"/>
      <c r="J124" s="192"/>
    </row>
    <row r="125" ht="14.25" customHeight="1">
      <c r="A125" s="158"/>
      <c r="E125" s="192"/>
      <c r="F125" s="192"/>
      <c r="G125" s="192"/>
      <c r="H125" s="192"/>
      <c r="I125" s="192"/>
      <c r="J125" s="192"/>
    </row>
    <row r="126" ht="14.25" customHeight="1">
      <c r="A126" s="158"/>
      <c r="E126" s="192"/>
      <c r="F126" s="192"/>
      <c r="G126" s="192"/>
      <c r="H126" s="192"/>
      <c r="I126" s="192"/>
      <c r="J126" s="192"/>
    </row>
    <row r="127" ht="14.25" customHeight="1">
      <c r="A127" s="158"/>
      <c r="E127" s="192"/>
      <c r="F127" s="192"/>
      <c r="G127" s="192"/>
      <c r="H127" s="192"/>
      <c r="I127" s="192"/>
      <c r="J127" s="192"/>
    </row>
    <row r="128" ht="14.25" customHeight="1">
      <c r="A128" s="158"/>
      <c r="E128" s="192"/>
      <c r="F128" s="192"/>
      <c r="G128" s="192"/>
      <c r="H128" s="192"/>
      <c r="I128" s="192"/>
      <c r="J128" s="192"/>
    </row>
    <row r="129" ht="14.25" customHeight="1">
      <c r="A129" s="158"/>
      <c r="E129" s="192"/>
      <c r="F129" s="192"/>
      <c r="G129" s="192"/>
      <c r="H129" s="192"/>
      <c r="I129" s="192"/>
      <c r="J129" s="192"/>
    </row>
    <row r="130" ht="14.25" customHeight="1">
      <c r="A130" s="158"/>
      <c r="E130" s="192"/>
      <c r="F130" s="192"/>
      <c r="G130" s="192"/>
      <c r="H130" s="192"/>
      <c r="I130" s="192"/>
      <c r="J130" s="192"/>
    </row>
    <row r="131" ht="14.25" customHeight="1">
      <c r="A131" s="158"/>
      <c r="E131" s="192"/>
      <c r="F131" s="192"/>
      <c r="G131" s="192"/>
      <c r="H131" s="192"/>
      <c r="I131" s="192"/>
      <c r="J131" s="192"/>
    </row>
    <row r="132" ht="14.25" customHeight="1">
      <c r="A132" s="158"/>
      <c r="E132" s="192"/>
      <c r="F132" s="192"/>
      <c r="G132" s="192"/>
      <c r="H132" s="192"/>
      <c r="I132" s="192"/>
      <c r="J132" s="192"/>
    </row>
    <row r="133" ht="14.25" customHeight="1">
      <c r="A133" s="158"/>
      <c r="E133" s="192"/>
      <c r="F133" s="192"/>
      <c r="G133" s="192"/>
      <c r="H133" s="192"/>
      <c r="I133" s="192"/>
      <c r="J133" s="192"/>
    </row>
    <row r="134" ht="14.25" customHeight="1">
      <c r="A134" s="158"/>
      <c r="E134" s="192"/>
      <c r="F134" s="192"/>
      <c r="G134" s="192"/>
      <c r="H134" s="192"/>
      <c r="I134" s="192"/>
      <c r="J134" s="192"/>
    </row>
    <row r="135" ht="14.25" customHeight="1">
      <c r="A135" s="158"/>
      <c r="E135" s="192"/>
      <c r="F135" s="192"/>
      <c r="G135" s="192"/>
      <c r="H135" s="192"/>
      <c r="I135" s="192"/>
      <c r="J135" s="192"/>
    </row>
    <row r="136" ht="14.25" customHeight="1">
      <c r="A136" s="158"/>
      <c r="E136" s="192"/>
      <c r="F136" s="192"/>
      <c r="G136" s="192"/>
      <c r="H136" s="192"/>
      <c r="I136" s="192"/>
      <c r="J136" s="192"/>
    </row>
    <row r="137" ht="14.25" customHeight="1">
      <c r="A137" s="158"/>
      <c r="E137" s="192"/>
      <c r="F137" s="192"/>
      <c r="G137" s="192"/>
      <c r="H137" s="192"/>
      <c r="I137" s="192"/>
      <c r="J137" s="192"/>
    </row>
    <row r="138" ht="14.25" customHeight="1">
      <c r="A138" s="158"/>
      <c r="E138" s="192"/>
      <c r="F138" s="192"/>
      <c r="G138" s="192"/>
      <c r="H138" s="192"/>
      <c r="I138" s="192"/>
      <c r="J138" s="192"/>
    </row>
    <row r="139" ht="14.25" customHeight="1">
      <c r="A139" s="158"/>
      <c r="E139" s="192"/>
      <c r="F139" s="192"/>
      <c r="G139" s="192"/>
      <c r="H139" s="192"/>
      <c r="I139" s="192"/>
      <c r="J139" s="192"/>
    </row>
    <row r="140" ht="14.25" customHeight="1">
      <c r="A140" s="158"/>
      <c r="E140" s="192"/>
      <c r="F140" s="192"/>
      <c r="G140" s="192"/>
      <c r="H140" s="192"/>
      <c r="I140" s="192"/>
      <c r="J140" s="192"/>
    </row>
    <row r="141" ht="14.25" customHeight="1">
      <c r="A141" s="158"/>
      <c r="E141" s="192"/>
      <c r="F141" s="192"/>
      <c r="G141" s="192"/>
      <c r="H141" s="192"/>
      <c r="I141" s="192"/>
      <c r="J141" s="192"/>
    </row>
    <row r="142" ht="14.25" customHeight="1">
      <c r="A142" s="158"/>
      <c r="E142" s="192"/>
      <c r="F142" s="192"/>
      <c r="G142" s="192"/>
      <c r="H142" s="192"/>
      <c r="I142" s="192"/>
      <c r="J142" s="192"/>
    </row>
    <row r="143" ht="14.25" customHeight="1">
      <c r="A143" s="158"/>
      <c r="E143" s="192"/>
      <c r="F143" s="192"/>
      <c r="G143" s="192"/>
      <c r="H143" s="192"/>
      <c r="I143" s="192"/>
      <c r="J143" s="192"/>
    </row>
    <row r="144" ht="14.25" customHeight="1">
      <c r="A144" s="158"/>
      <c r="E144" s="192"/>
      <c r="F144" s="192"/>
      <c r="G144" s="192"/>
      <c r="H144" s="192"/>
      <c r="I144" s="192"/>
      <c r="J144" s="192"/>
    </row>
    <row r="145" ht="14.25" customHeight="1">
      <c r="A145" s="158"/>
      <c r="E145" s="192"/>
      <c r="F145" s="192"/>
      <c r="G145" s="192"/>
      <c r="H145" s="192"/>
      <c r="I145" s="192"/>
      <c r="J145" s="192"/>
    </row>
    <row r="146" ht="14.25" customHeight="1">
      <c r="A146" s="158"/>
      <c r="E146" s="192"/>
      <c r="F146" s="192"/>
      <c r="G146" s="192"/>
      <c r="H146" s="192"/>
      <c r="I146" s="192"/>
      <c r="J146" s="192"/>
    </row>
    <row r="147" ht="14.25" customHeight="1">
      <c r="A147" s="158"/>
      <c r="E147" s="192"/>
      <c r="F147" s="192"/>
      <c r="G147" s="192"/>
      <c r="H147" s="192"/>
      <c r="I147" s="192"/>
      <c r="J147" s="192"/>
    </row>
    <row r="148" ht="14.25" customHeight="1">
      <c r="A148" s="158"/>
      <c r="E148" s="192"/>
      <c r="F148" s="192"/>
      <c r="G148" s="192"/>
      <c r="H148" s="192"/>
      <c r="I148" s="192"/>
      <c r="J148" s="192"/>
    </row>
    <row r="149" ht="14.25" customHeight="1">
      <c r="A149" s="158"/>
      <c r="E149" s="192"/>
      <c r="F149" s="192"/>
      <c r="G149" s="192"/>
      <c r="H149" s="192"/>
      <c r="I149" s="192"/>
      <c r="J149" s="192"/>
    </row>
    <row r="150" ht="14.25" customHeight="1">
      <c r="A150" s="158"/>
      <c r="E150" s="192"/>
      <c r="F150" s="192"/>
      <c r="G150" s="192"/>
      <c r="H150" s="192"/>
      <c r="I150" s="192"/>
      <c r="J150" s="192"/>
    </row>
    <row r="151" ht="14.25" customHeight="1">
      <c r="A151" s="158"/>
      <c r="E151" s="192"/>
      <c r="F151" s="192"/>
      <c r="G151" s="192"/>
      <c r="H151" s="192"/>
      <c r="I151" s="192"/>
      <c r="J151" s="192"/>
    </row>
    <row r="152" ht="14.25" customHeight="1">
      <c r="A152" s="158"/>
      <c r="E152" s="192"/>
      <c r="F152" s="192"/>
      <c r="G152" s="192"/>
      <c r="H152" s="192"/>
      <c r="I152" s="192"/>
      <c r="J152" s="192"/>
    </row>
    <row r="153" ht="14.25" customHeight="1">
      <c r="A153" s="158"/>
      <c r="E153" s="192"/>
      <c r="F153" s="192"/>
      <c r="G153" s="192"/>
      <c r="H153" s="192"/>
      <c r="I153" s="192"/>
      <c r="J153" s="192"/>
    </row>
    <row r="154" ht="14.25" customHeight="1">
      <c r="A154" s="158"/>
      <c r="E154" s="192"/>
      <c r="F154" s="192"/>
      <c r="G154" s="192"/>
      <c r="H154" s="192"/>
      <c r="I154" s="192"/>
      <c r="J154" s="192"/>
    </row>
    <row r="155" ht="14.25" customHeight="1">
      <c r="A155" s="158"/>
      <c r="E155" s="192"/>
      <c r="F155" s="192"/>
      <c r="G155" s="192"/>
      <c r="H155" s="192"/>
      <c r="I155" s="192"/>
      <c r="J155" s="192"/>
    </row>
    <row r="156" ht="14.25" customHeight="1">
      <c r="A156" s="158"/>
      <c r="E156" s="192"/>
      <c r="F156" s="192"/>
      <c r="G156" s="192"/>
      <c r="H156" s="192"/>
      <c r="I156" s="192"/>
      <c r="J156" s="192"/>
    </row>
    <row r="157" ht="14.25" customHeight="1">
      <c r="A157" s="158"/>
      <c r="E157" s="192"/>
      <c r="F157" s="192"/>
      <c r="G157" s="192"/>
      <c r="H157" s="192"/>
      <c r="I157" s="192"/>
      <c r="J157" s="192"/>
    </row>
    <row r="158" ht="14.25" customHeight="1">
      <c r="A158" s="158"/>
      <c r="E158" s="192"/>
      <c r="F158" s="192"/>
      <c r="G158" s="192"/>
      <c r="H158" s="192"/>
      <c r="I158" s="192"/>
      <c r="J158" s="192"/>
    </row>
    <row r="159" ht="14.25" customHeight="1">
      <c r="A159" s="158"/>
      <c r="E159" s="192"/>
      <c r="F159" s="192"/>
      <c r="G159" s="192"/>
      <c r="H159" s="192"/>
      <c r="I159" s="192"/>
      <c r="J159" s="192"/>
    </row>
    <row r="160" ht="14.25" customHeight="1">
      <c r="A160" s="158"/>
      <c r="E160" s="192"/>
      <c r="F160" s="192"/>
      <c r="G160" s="192"/>
      <c r="H160" s="192"/>
      <c r="I160" s="192"/>
      <c r="J160" s="192"/>
    </row>
    <row r="161" ht="14.25" customHeight="1">
      <c r="A161" s="158"/>
      <c r="E161" s="192"/>
      <c r="F161" s="192"/>
      <c r="G161" s="192"/>
      <c r="H161" s="192"/>
      <c r="I161" s="192"/>
      <c r="J161" s="192"/>
    </row>
    <row r="162" ht="14.25" customHeight="1">
      <c r="A162" s="158"/>
      <c r="E162" s="192"/>
      <c r="F162" s="192"/>
      <c r="G162" s="192"/>
      <c r="H162" s="192"/>
      <c r="I162" s="192"/>
      <c r="J162" s="192"/>
    </row>
    <row r="163" ht="14.25" customHeight="1">
      <c r="A163" s="158"/>
      <c r="E163" s="192"/>
      <c r="F163" s="192"/>
      <c r="G163" s="192"/>
      <c r="H163" s="192"/>
      <c r="I163" s="192"/>
      <c r="J163" s="192"/>
    </row>
    <row r="164" ht="14.25" customHeight="1">
      <c r="A164" s="158"/>
      <c r="E164" s="192"/>
      <c r="F164" s="192"/>
      <c r="G164" s="192"/>
      <c r="H164" s="192"/>
      <c r="I164" s="192"/>
      <c r="J164" s="192"/>
    </row>
    <row r="165" ht="14.25" customHeight="1">
      <c r="A165" s="158"/>
      <c r="E165" s="192"/>
      <c r="F165" s="192"/>
      <c r="G165" s="192"/>
      <c r="H165" s="192"/>
      <c r="I165" s="192"/>
      <c r="J165" s="192"/>
    </row>
    <row r="166" ht="14.25" customHeight="1">
      <c r="A166" s="158"/>
      <c r="E166" s="192"/>
      <c r="F166" s="192"/>
      <c r="G166" s="192"/>
      <c r="H166" s="192"/>
      <c r="I166" s="192"/>
      <c r="J166" s="192"/>
    </row>
    <row r="167" ht="14.25" customHeight="1">
      <c r="A167" s="158"/>
      <c r="E167" s="192"/>
      <c r="F167" s="192"/>
      <c r="G167" s="192"/>
      <c r="H167" s="192"/>
      <c r="I167" s="192"/>
      <c r="J167" s="192"/>
    </row>
    <row r="168" ht="14.25" customHeight="1">
      <c r="A168" s="158"/>
      <c r="E168" s="192"/>
      <c r="F168" s="192"/>
      <c r="G168" s="192"/>
      <c r="H168" s="192"/>
      <c r="I168" s="192"/>
      <c r="J168" s="192"/>
    </row>
    <row r="169" ht="14.25" customHeight="1">
      <c r="A169" s="158"/>
      <c r="E169" s="192"/>
      <c r="F169" s="192"/>
      <c r="G169" s="192"/>
      <c r="H169" s="192"/>
      <c r="I169" s="192"/>
      <c r="J169" s="192"/>
    </row>
    <row r="170" ht="14.25" customHeight="1">
      <c r="A170" s="158"/>
      <c r="E170" s="192"/>
      <c r="F170" s="192"/>
      <c r="G170" s="192"/>
      <c r="H170" s="192"/>
      <c r="I170" s="192"/>
      <c r="J170" s="192"/>
    </row>
    <row r="171" ht="14.25" customHeight="1">
      <c r="A171" s="158"/>
      <c r="E171" s="192"/>
      <c r="F171" s="192"/>
      <c r="G171" s="192"/>
      <c r="H171" s="192"/>
      <c r="I171" s="192"/>
      <c r="J171" s="192"/>
    </row>
    <row r="172" ht="14.25" customHeight="1">
      <c r="A172" s="158"/>
      <c r="E172" s="192"/>
      <c r="F172" s="192"/>
      <c r="G172" s="192"/>
      <c r="H172" s="192"/>
      <c r="I172" s="192"/>
      <c r="J172" s="192"/>
    </row>
    <row r="173" ht="14.25" customHeight="1">
      <c r="A173" s="158"/>
      <c r="E173" s="192"/>
      <c r="F173" s="192"/>
      <c r="G173" s="192"/>
      <c r="H173" s="192"/>
      <c r="I173" s="192"/>
      <c r="J173" s="192"/>
    </row>
    <row r="174" ht="14.25" customHeight="1">
      <c r="A174" s="158"/>
      <c r="E174" s="192"/>
      <c r="F174" s="192"/>
      <c r="G174" s="192"/>
      <c r="H174" s="192"/>
      <c r="I174" s="192"/>
      <c r="J174" s="192"/>
    </row>
    <row r="175" ht="14.25" customHeight="1">
      <c r="A175" s="158"/>
      <c r="E175" s="192"/>
      <c r="F175" s="192"/>
      <c r="G175" s="192"/>
      <c r="H175" s="192"/>
      <c r="I175" s="192"/>
      <c r="J175" s="192"/>
    </row>
    <row r="176" ht="14.25" customHeight="1">
      <c r="A176" s="158"/>
      <c r="E176" s="192"/>
      <c r="F176" s="192"/>
      <c r="G176" s="192"/>
      <c r="H176" s="192"/>
      <c r="I176" s="192"/>
      <c r="J176" s="192"/>
    </row>
    <row r="177" ht="14.25" customHeight="1">
      <c r="A177" s="158"/>
      <c r="E177" s="192"/>
      <c r="F177" s="192"/>
      <c r="G177" s="192"/>
      <c r="H177" s="192"/>
      <c r="I177" s="192"/>
      <c r="J177" s="192"/>
    </row>
    <row r="178" ht="14.25" customHeight="1">
      <c r="A178" s="158"/>
      <c r="E178" s="192"/>
      <c r="F178" s="192"/>
      <c r="G178" s="192"/>
      <c r="H178" s="192"/>
      <c r="I178" s="192"/>
      <c r="J178" s="192"/>
    </row>
    <row r="179" ht="14.25" customHeight="1">
      <c r="A179" s="158"/>
      <c r="E179" s="192"/>
      <c r="F179" s="192"/>
      <c r="G179" s="192"/>
      <c r="H179" s="192"/>
      <c r="I179" s="192"/>
      <c r="J179" s="192"/>
    </row>
    <row r="180" ht="14.25" customHeight="1">
      <c r="A180" s="158"/>
      <c r="E180" s="192"/>
      <c r="F180" s="192"/>
      <c r="G180" s="192"/>
      <c r="H180" s="192"/>
      <c r="I180" s="192"/>
      <c r="J180" s="192"/>
    </row>
    <row r="181" ht="14.25" customHeight="1">
      <c r="A181" s="158"/>
      <c r="E181" s="192"/>
      <c r="F181" s="192"/>
      <c r="G181" s="192"/>
      <c r="H181" s="192"/>
      <c r="I181" s="192"/>
      <c r="J181" s="192"/>
    </row>
    <row r="182" ht="14.25" customHeight="1">
      <c r="A182" s="158"/>
      <c r="E182" s="192"/>
      <c r="F182" s="192"/>
      <c r="G182" s="192"/>
      <c r="H182" s="192"/>
      <c r="I182" s="192"/>
      <c r="J182" s="192"/>
    </row>
    <row r="183" ht="14.25" customHeight="1">
      <c r="A183" s="158"/>
      <c r="E183" s="192"/>
      <c r="F183" s="192"/>
      <c r="G183" s="192"/>
      <c r="H183" s="192"/>
      <c r="I183" s="192"/>
      <c r="J183" s="192"/>
    </row>
    <row r="184" ht="14.25" customHeight="1">
      <c r="A184" s="158"/>
      <c r="E184" s="192"/>
      <c r="F184" s="192"/>
      <c r="G184" s="192"/>
      <c r="H184" s="192"/>
      <c r="I184" s="192"/>
      <c r="J184" s="192"/>
    </row>
    <row r="185" ht="14.25" customHeight="1">
      <c r="A185" s="158"/>
      <c r="E185" s="192"/>
      <c r="F185" s="192"/>
      <c r="G185" s="192"/>
      <c r="H185" s="192"/>
      <c r="I185" s="192"/>
      <c r="J185" s="192"/>
    </row>
    <row r="186" ht="14.25" customHeight="1">
      <c r="A186" s="158"/>
      <c r="E186" s="192"/>
      <c r="F186" s="192"/>
      <c r="G186" s="192"/>
      <c r="H186" s="192"/>
      <c r="I186" s="192"/>
      <c r="J186" s="192"/>
    </row>
    <row r="187" ht="14.25" customHeight="1">
      <c r="A187" s="158"/>
      <c r="E187" s="192"/>
      <c r="F187" s="192"/>
      <c r="G187" s="192"/>
      <c r="H187" s="192"/>
      <c r="I187" s="192"/>
      <c r="J187" s="192"/>
    </row>
    <row r="188" ht="14.25" customHeight="1">
      <c r="A188" s="158"/>
      <c r="E188" s="192"/>
      <c r="F188" s="192"/>
      <c r="G188" s="192"/>
      <c r="H188" s="192"/>
      <c r="I188" s="192"/>
      <c r="J188" s="192"/>
    </row>
    <row r="189" ht="14.25" customHeight="1">
      <c r="A189" s="158"/>
      <c r="E189" s="192"/>
      <c r="F189" s="192"/>
      <c r="G189" s="192"/>
      <c r="H189" s="192"/>
      <c r="I189" s="192"/>
      <c r="J189" s="192"/>
    </row>
    <row r="190" ht="14.25" customHeight="1">
      <c r="A190" s="158"/>
      <c r="E190" s="192"/>
      <c r="F190" s="192"/>
      <c r="G190" s="192"/>
      <c r="H190" s="192"/>
      <c r="I190" s="192"/>
      <c r="J190" s="192"/>
    </row>
    <row r="191" ht="14.25" customHeight="1">
      <c r="A191" s="158"/>
      <c r="E191" s="192"/>
      <c r="F191" s="192"/>
      <c r="G191" s="192"/>
      <c r="H191" s="192"/>
      <c r="I191" s="192"/>
      <c r="J191" s="192"/>
    </row>
    <row r="192" ht="14.25" customHeight="1">
      <c r="A192" s="158"/>
      <c r="E192" s="192"/>
      <c r="F192" s="192"/>
      <c r="G192" s="192"/>
      <c r="H192" s="192"/>
      <c r="I192" s="192"/>
      <c r="J192" s="192"/>
    </row>
    <row r="193" ht="14.25" customHeight="1">
      <c r="A193" s="158"/>
      <c r="E193" s="192"/>
      <c r="F193" s="192"/>
      <c r="G193" s="192"/>
      <c r="H193" s="192"/>
      <c r="I193" s="192"/>
      <c r="J193" s="192"/>
    </row>
    <row r="194" ht="14.25" customHeight="1">
      <c r="A194" s="158"/>
      <c r="E194" s="192"/>
      <c r="F194" s="192"/>
      <c r="G194" s="192"/>
      <c r="H194" s="192"/>
      <c r="I194" s="192"/>
      <c r="J194" s="192"/>
    </row>
    <row r="195" ht="14.25" customHeight="1">
      <c r="A195" s="158"/>
      <c r="E195" s="192"/>
      <c r="F195" s="192"/>
      <c r="G195" s="192"/>
      <c r="H195" s="192"/>
      <c r="I195" s="192"/>
      <c r="J195" s="192"/>
    </row>
    <row r="196" ht="14.25" customHeight="1">
      <c r="A196" s="158"/>
      <c r="E196" s="192"/>
      <c r="F196" s="192"/>
      <c r="G196" s="192"/>
      <c r="H196" s="192"/>
      <c r="I196" s="192"/>
      <c r="J196" s="192"/>
    </row>
    <row r="197" ht="14.25" customHeight="1">
      <c r="A197" s="158"/>
      <c r="E197" s="192"/>
      <c r="F197" s="192"/>
      <c r="G197" s="192"/>
      <c r="H197" s="192"/>
      <c r="I197" s="192"/>
      <c r="J197" s="192"/>
    </row>
    <row r="198" ht="14.25" customHeight="1">
      <c r="A198" s="158"/>
      <c r="E198" s="192"/>
      <c r="F198" s="192"/>
      <c r="G198" s="192"/>
      <c r="H198" s="192"/>
      <c r="I198" s="192"/>
      <c r="J198" s="192"/>
    </row>
    <row r="199" ht="14.25" customHeight="1">
      <c r="A199" s="158"/>
      <c r="E199" s="192"/>
      <c r="F199" s="192"/>
      <c r="G199" s="192"/>
      <c r="H199" s="192"/>
      <c r="I199" s="192"/>
      <c r="J199" s="192"/>
    </row>
    <row r="200" ht="14.25" customHeight="1">
      <c r="A200" s="158"/>
      <c r="E200" s="192"/>
      <c r="F200" s="192"/>
      <c r="G200" s="192"/>
      <c r="H200" s="192"/>
      <c r="I200" s="192"/>
      <c r="J200" s="192"/>
    </row>
    <row r="201" ht="14.25" customHeight="1">
      <c r="A201" s="158"/>
      <c r="E201" s="192"/>
      <c r="F201" s="192"/>
      <c r="G201" s="192"/>
      <c r="H201" s="192"/>
      <c r="I201" s="192"/>
      <c r="J201" s="192"/>
    </row>
    <row r="202" ht="14.25" customHeight="1">
      <c r="A202" s="158"/>
      <c r="E202" s="192"/>
      <c r="F202" s="192"/>
      <c r="G202" s="192"/>
      <c r="H202" s="192"/>
      <c r="I202" s="192"/>
      <c r="J202" s="192"/>
    </row>
    <row r="203" ht="14.25" customHeight="1">
      <c r="A203" s="158"/>
      <c r="E203" s="192"/>
      <c r="F203" s="192"/>
      <c r="G203" s="192"/>
      <c r="H203" s="192"/>
      <c r="I203" s="192"/>
      <c r="J203" s="192"/>
    </row>
    <row r="204" ht="14.25" customHeight="1">
      <c r="A204" s="158"/>
      <c r="E204" s="192"/>
      <c r="F204" s="192"/>
      <c r="G204" s="192"/>
      <c r="H204" s="192"/>
      <c r="I204" s="192"/>
      <c r="J204" s="192"/>
    </row>
    <row r="205" ht="14.25" customHeight="1">
      <c r="A205" s="158"/>
      <c r="E205" s="192"/>
      <c r="F205" s="192"/>
      <c r="G205" s="192"/>
      <c r="H205" s="192"/>
      <c r="I205" s="192"/>
      <c r="J205" s="192"/>
    </row>
    <row r="206" ht="14.25" customHeight="1">
      <c r="A206" s="158"/>
      <c r="E206" s="192"/>
      <c r="F206" s="192"/>
      <c r="G206" s="192"/>
      <c r="H206" s="192"/>
      <c r="I206" s="192"/>
      <c r="J206" s="192"/>
    </row>
    <row r="207" ht="14.25" customHeight="1">
      <c r="A207" s="158"/>
      <c r="E207" s="192"/>
      <c r="F207" s="192"/>
      <c r="G207" s="192"/>
      <c r="H207" s="192"/>
      <c r="I207" s="192"/>
      <c r="J207" s="192"/>
    </row>
    <row r="208" ht="14.25" customHeight="1">
      <c r="A208" s="158"/>
      <c r="E208" s="192"/>
      <c r="F208" s="192"/>
      <c r="G208" s="192"/>
      <c r="H208" s="192"/>
      <c r="I208" s="192"/>
      <c r="J208" s="192"/>
    </row>
    <row r="209" ht="14.25" customHeight="1">
      <c r="A209" s="158"/>
      <c r="E209" s="192"/>
      <c r="F209" s="192"/>
      <c r="G209" s="192"/>
      <c r="H209" s="192"/>
      <c r="I209" s="192"/>
      <c r="J209" s="192"/>
    </row>
    <row r="210" ht="14.25" customHeight="1">
      <c r="A210" s="158"/>
      <c r="E210" s="192"/>
      <c r="F210" s="192"/>
      <c r="G210" s="192"/>
      <c r="H210" s="192"/>
      <c r="I210" s="192"/>
      <c r="J210" s="192"/>
    </row>
    <row r="211" ht="14.25" customHeight="1">
      <c r="A211" s="158"/>
      <c r="E211" s="192"/>
      <c r="F211" s="192"/>
      <c r="G211" s="192"/>
      <c r="H211" s="192"/>
      <c r="I211" s="192"/>
      <c r="J211" s="192"/>
    </row>
    <row r="212" ht="14.25" customHeight="1">
      <c r="A212" s="158"/>
      <c r="E212" s="192"/>
      <c r="F212" s="192"/>
      <c r="G212" s="192"/>
      <c r="H212" s="192"/>
      <c r="I212" s="192"/>
      <c r="J212" s="192"/>
    </row>
    <row r="213" ht="14.25" customHeight="1">
      <c r="A213" s="158"/>
      <c r="E213" s="192"/>
      <c r="F213" s="192"/>
      <c r="G213" s="192"/>
      <c r="H213" s="192"/>
      <c r="I213" s="192"/>
      <c r="J213" s="192"/>
    </row>
    <row r="214" ht="14.25" customHeight="1">
      <c r="A214" s="158"/>
      <c r="E214" s="192"/>
      <c r="F214" s="192"/>
      <c r="G214" s="192"/>
      <c r="H214" s="192"/>
      <c r="I214" s="192"/>
      <c r="J214" s="192"/>
    </row>
    <row r="215" ht="14.25" customHeight="1">
      <c r="A215" s="158"/>
      <c r="E215" s="192"/>
      <c r="F215" s="192"/>
      <c r="G215" s="192"/>
      <c r="H215" s="192"/>
      <c r="I215" s="192"/>
      <c r="J215" s="192"/>
    </row>
    <row r="216" ht="14.25" customHeight="1">
      <c r="A216" s="158"/>
      <c r="E216" s="192"/>
      <c r="F216" s="192"/>
      <c r="G216" s="192"/>
      <c r="H216" s="192"/>
      <c r="I216" s="192"/>
      <c r="J216" s="192"/>
    </row>
    <row r="217" ht="14.25" customHeight="1">
      <c r="A217" s="158"/>
      <c r="E217" s="192"/>
      <c r="F217" s="192"/>
      <c r="G217" s="192"/>
      <c r="H217" s="192"/>
      <c r="I217" s="192"/>
      <c r="J217" s="192"/>
    </row>
    <row r="218" ht="14.25" customHeight="1">
      <c r="A218" s="158"/>
      <c r="E218" s="192"/>
      <c r="F218" s="192"/>
      <c r="G218" s="192"/>
      <c r="H218" s="192"/>
      <c r="I218" s="192"/>
      <c r="J218" s="192"/>
    </row>
    <row r="219" ht="14.25" customHeight="1">
      <c r="A219" s="158"/>
      <c r="E219" s="192"/>
      <c r="F219" s="192"/>
      <c r="G219" s="192"/>
      <c r="H219" s="192"/>
      <c r="I219" s="192"/>
      <c r="J219" s="192"/>
    </row>
    <row r="220" ht="14.25" customHeight="1">
      <c r="A220" s="158"/>
      <c r="E220" s="192"/>
      <c r="F220" s="192"/>
      <c r="G220" s="192"/>
      <c r="H220" s="192"/>
      <c r="I220" s="192"/>
      <c r="J220" s="192"/>
    </row>
    <row r="221" ht="14.25" customHeight="1">
      <c r="A221" s="158"/>
      <c r="E221" s="192"/>
      <c r="F221" s="192"/>
      <c r="G221" s="192"/>
      <c r="H221" s="192"/>
      <c r="I221" s="192"/>
      <c r="J221" s="192"/>
    </row>
    <row r="222" ht="14.25" customHeight="1">
      <c r="A222" s="158"/>
      <c r="E222" s="192"/>
      <c r="F222" s="192"/>
      <c r="G222" s="192"/>
      <c r="H222" s="192"/>
      <c r="I222" s="192"/>
      <c r="J222" s="192"/>
    </row>
    <row r="223" ht="14.25" customHeight="1">
      <c r="A223" s="158"/>
      <c r="E223" s="192"/>
      <c r="F223" s="192"/>
      <c r="G223" s="192"/>
      <c r="H223" s="192"/>
      <c r="I223" s="192"/>
      <c r="J223" s="192"/>
    </row>
    <row r="224" ht="14.25" customHeight="1">
      <c r="A224" s="158"/>
      <c r="E224" s="192"/>
      <c r="F224" s="192"/>
      <c r="G224" s="192"/>
      <c r="H224" s="192"/>
      <c r="I224" s="192"/>
      <c r="J224" s="192"/>
    </row>
    <row r="225" ht="14.25" customHeight="1">
      <c r="A225" s="158"/>
      <c r="E225" s="192"/>
      <c r="F225" s="192"/>
      <c r="G225" s="192"/>
      <c r="H225" s="192"/>
      <c r="I225" s="192"/>
      <c r="J225" s="192"/>
    </row>
    <row r="226" ht="14.25" customHeight="1">
      <c r="A226" s="158"/>
      <c r="E226" s="192"/>
      <c r="F226" s="192"/>
      <c r="G226" s="192"/>
      <c r="H226" s="192"/>
      <c r="I226" s="192"/>
      <c r="J226" s="192"/>
    </row>
    <row r="227" ht="14.25" customHeight="1">
      <c r="A227" s="158"/>
      <c r="E227" s="192"/>
      <c r="F227" s="192"/>
      <c r="G227" s="192"/>
      <c r="H227" s="192"/>
      <c r="I227" s="192"/>
      <c r="J227" s="192"/>
    </row>
    <row r="228" ht="14.25" customHeight="1">
      <c r="A228" s="158"/>
      <c r="E228" s="192"/>
      <c r="F228" s="192"/>
      <c r="G228" s="192"/>
      <c r="H228" s="192"/>
      <c r="I228" s="192"/>
      <c r="J228" s="192"/>
    </row>
    <row r="229" ht="14.25" customHeight="1">
      <c r="A229" s="158"/>
      <c r="E229" s="192"/>
      <c r="F229" s="192"/>
      <c r="G229" s="192"/>
      <c r="H229" s="192"/>
      <c r="I229" s="192"/>
      <c r="J229" s="192"/>
    </row>
    <row r="230" ht="14.25" customHeight="1">
      <c r="A230" s="158"/>
      <c r="E230" s="192"/>
      <c r="F230" s="192"/>
      <c r="G230" s="192"/>
      <c r="H230" s="192"/>
      <c r="I230" s="192"/>
      <c r="J230" s="192"/>
    </row>
    <row r="231" ht="14.25" customHeight="1">
      <c r="A231" s="158"/>
      <c r="E231" s="192"/>
      <c r="F231" s="192"/>
      <c r="G231" s="192"/>
      <c r="H231" s="192"/>
      <c r="I231" s="192"/>
      <c r="J231" s="192"/>
    </row>
    <row r="232" ht="14.25" customHeight="1">
      <c r="A232" s="158"/>
      <c r="E232" s="192"/>
      <c r="F232" s="192"/>
      <c r="G232" s="192"/>
      <c r="H232" s="192"/>
      <c r="I232" s="192"/>
      <c r="J232" s="192"/>
    </row>
    <row r="233" ht="14.25" customHeight="1">
      <c r="A233" s="158"/>
      <c r="E233" s="192"/>
      <c r="F233" s="192"/>
      <c r="G233" s="192"/>
      <c r="H233" s="192"/>
      <c r="I233" s="192"/>
      <c r="J233" s="192"/>
    </row>
    <row r="234" ht="14.25" customHeight="1">
      <c r="A234" s="158"/>
      <c r="E234" s="192"/>
      <c r="F234" s="192"/>
      <c r="G234" s="192"/>
      <c r="H234" s="192"/>
      <c r="I234" s="192"/>
      <c r="J234" s="192"/>
    </row>
    <row r="235" ht="14.25" customHeight="1">
      <c r="A235" s="158"/>
      <c r="E235" s="192"/>
      <c r="F235" s="192"/>
      <c r="G235" s="192"/>
      <c r="H235" s="192"/>
      <c r="I235" s="192"/>
      <c r="J235" s="192"/>
    </row>
    <row r="236" ht="14.25" customHeight="1">
      <c r="A236" s="158"/>
      <c r="E236" s="192"/>
      <c r="F236" s="192"/>
      <c r="G236" s="192"/>
      <c r="H236" s="192"/>
      <c r="I236" s="192"/>
      <c r="J236" s="192"/>
    </row>
    <row r="237" ht="14.25" customHeight="1">
      <c r="A237" s="158"/>
      <c r="E237" s="192"/>
      <c r="F237" s="192"/>
      <c r="G237" s="192"/>
      <c r="H237" s="192"/>
      <c r="I237" s="192"/>
      <c r="J237" s="192"/>
    </row>
    <row r="238" ht="14.25" customHeight="1">
      <c r="A238" s="158"/>
      <c r="E238" s="192"/>
      <c r="F238" s="192"/>
      <c r="G238" s="192"/>
      <c r="H238" s="192"/>
      <c r="I238" s="192"/>
      <c r="J238" s="192"/>
    </row>
    <row r="239" ht="14.25" customHeight="1">
      <c r="A239" s="158"/>
      <c r="E239" s="192"/>
      <c r="F239" s="192"/>
      <c r="G239" s="192"/>
      <c r="H239" s="192"/>
      <c r="I239" s="192"/>
      <c r="J239" s="192"/>
    </row>
    <row r="240" ht="14.25" customHeight="1">
      <c r="A240" s="158"/>
      <c r="E240" s="192"/>
      <c r="F240" s="192"/>
      <c r="G240" s="192"/>
      <c r="H240" s="192"/>
      <c r="I240" s="192"/>
      <c r="J240" s="192"/>
    </row>
    <row r="241" ht="14.25" customHeight="1">
      <c r="A241" s="158"/>
      <c r="E241" s="192"/>
      <c r="F241" s="192"/>
      <c r="G241" s="192"/>
      <c r="H241" s="192"/>
      <c r="I241" s="192"/>
      <c r="J241" s="192"/>
    </row>
    <row r="242" ht="14.25" customHeight="1">
      <c r="A242" s="158"/>
      <c r="E242" s="192"/>
      <c r="F242" s="192"/>
      <c r="G242" s="192"/>
      <c r="H242" s="192"/>
      <c r="I242" s="192"/>
      <c r="J242" s="192"/>
    </row>
    <row r="243" ht="14.25" customHeight="1">
      <c r="A243" s="158"/>
      <c r="E243" s="192"/>
      <c r="F243" s="192"/>
      <c r="G243" s="192"/>
      <c r="H243" s="192"/>
      <c r="I243" s="192"/>
      <c r="J243" s="192"/>
    </row>
    <row r="244" ht="14.25" customHeight="1">
      <c r="A244" s="158"/>
      <c r="E244" s="192"/>
      <c r="F244" s="192"/>
      <c r="G244" s="192"/>
      <c r="H244" s="192"/>
      <c r="I244" s="192"/>
      <c r="J244" s="192"/>
    </row>
    <row r="245" ht="14.25" customHeight="1">
      <c r="A245" s="158"/>
      <c r="E245" s="192"/>
      <c r="F245" s="192"/>
      <c r="G245" s="192"/>
      <c r="H245" s="192"/>
      <c r="I245" s="192"/>
      <c r="J245" s="192"/>
    </row>
    <row r="246" ht="14.25" customHeight="1">
      <c r="A246" s="158"/>
      <c r="E246" s="192"/>
      <c r="F246" s="192"/>
      <c r="G246" s="192"/>
      <c r="H246" s="192"/>
      <c r="I246" s="192"/>
      <c r="J246" s="192"/>
    </row>
    <row r="247" ht="14.25" customHeight="1">
      <c r="A247" s="158"/>
      <c r="E247" s="192"/>
      <c r="F247" s="192"/>
      <c r="G247" s="192"/>
      <c r="H247" s="192"/>
      <c r="I247" s="192"/>
      <c r="J247" s="192"/>
    </row>
    <row r="248" ht="14.25" customHeight="1">
      <c r="A248" s="158"/>
      <c r="E248" s="192"/>
      <c r="F248" s="192"/>
      <c r="G248" s="192"/>
      <c r="H248" s="192"/>
      <c r="I248" s="192"/>
      <c r="J248" s="192"/>
    </row>
    <row r="249" ht="14.25" customHeight="1">
      <c r="A249" s="158"/>
      <c r="E249" s="192"/>
      <c r="F249" s="192"/>
      <c r="G249" s="192"/>
      <c r="H249" s="192"/>
      <c r="I249" s="192"/>
      <c r="J249" s="192"/>
    </row>
    <row r="250" ht="14.25" customHeight="1">
      <c r="A250" s="158"/>
      <c r="E250" s="192"/>
      <c r="F250" s="192"/>
      <c r="G250" s="192"/>
      <c r="H250" s="192"/>
      <c r="I250" s="192"/>
      <c r="J250" s="192"/>
    </row>
    <row r="251" ht="14.25" customHeight="1">
      <c r="A251" s="158"/>
      <c r="E251" s="192"/>
      <c r="F251" s="192"/>
      <c r="G251" s="192"/>
      <c r="H251" s="192"/>
      <c r="I251" s="192"/>
      <c r="J251" s="192"/>
    </row>
    <row r="252" ht="14.25" customHeight="1">
      <c r="A252" s="158"/>
      <c r="E252" s="192"/>
      <c r="F252" s="192"/>
      <c r="G252" s="192"/>
      <c r="H252" s="192"/>
      <c r="I252" s="192"/>
      <c r="J252" s="192"/>
    </row>
    <row r="253" ht="14.25" customHeight="1">
      <c r="A253" s="158"/>
      <c r="E253" s="192"/>
      <c r="F253" s="192"/>
      <c r="G253" s="192"/>
      <c r="H253" s="192"/>
      <c r="I253" s="192"/>
      <c r="J253" s="192"/>
    </row>
    <row r="254" ht="14.25" customHeight="1">
      <c r="A254" s="158"/>
      <c r="E254" s="192"/>
      <c r="F254" s="192"/>
      <c r="G254" s="192"/>
      <c r="H254" s="192"/>
      <c r="I254" s="192"/>
      <c r="J254" s="192"/>
    </row>
    <row r="255" ht="14.25" customHeight="1">
      <c r="A255" s="158"/>
      <c r="E255" s="192"/>
      <c r="F255" s="192"/>
      <c r="G255" s="192"/>
      <c r="H255" s="192"/>
      <c r="I255" s="192"/>
      <c r="J255" s="192"/>
    </row>
    <row r="256" ht="14.25" customHeight="1">
      <c r="A256" s="158"/>
      <c r="E256" s="192"/>
      <c r="F256" s="192"/>
      <c r="G256" s="192"/>
      <c r="H256" s="192"/>
      <c r="I256" s="192"/>
      <c r="J256" s="192"/>
    </row>
    <row r="257" ht="14.25" customHeight="1">
      <c r="A257" s="158"/>
      <c r="E257" s="192"/>
      <c r="F257" s="192"/>
      <c r="G257" s="192"/>
      <c r="H257" s="192"/>
      <c r="I257" s="192"/>
      <c r="J257" s="192"/>
    </row>
    <row r="258" ht="14.25" customHeight="1">
      <c r="A258" s="158"/>
      <c r="E258" s="192"/>
      <c r="F258" s="192"/>
      <c r="G258" s="192"/>
      <c r="H258" s="192"/>
      <c r="I258" s="192"/>
      <c r="J258" s="192"/>
    </row>
    <row r="259" ht="14.25" customHeight="1">
      <c r="A259" s="158"/>
      <c r="E259" s="192"/>
      <c r="F259" s="192"/>
      <c r="G259" s="192"/>
      <c r="H259" s="192"/>
      <c r="I259" s="192"/>
      <c r="J259" s="192"/>
    </row>
    <row r="260" ht="14.25" customHeight="1">
      <c r="A260" s="158"/>
      <c r="E260" s="192"/>
      <c r="F260" s="192"/>
      <c r="G260" s="192"/>
      <c r="H260" s="192"/>
      <c r="I260" s="192"/>
      <c r="J260" s="192"/>
    </row>
    <row r="261" ht="14.25" customHeight="1">
      <c r="A261" s="158"/>
      <c r="E261" s="192"/>
      <c r="F261" s="192"/>
      <c r="G261" s="192"/>
      <c r="H261" s="192"/>
      <c r="I261" s="192"/>
      <c r="J261" s="192"/>
    </row>
    <row r="262" ht="14.25" customHeight="1">
      <c r="A262" s="158"/>
      <c r="E262" s="192"/>
      <c r="F262" s="192"/>
      <c r="G262" s="192"/>
      <c r="H262" s="192"/>
      <c r="I262" s="192"/>
      <c r="J262" s="192"/>
    </row>
    <row r="263" ht="14.25" customHeight="1">
      <c r="A263" s="158"/>
      <c r="E263" s="192"/>
      <c r="F263" s="192"/>
      <c r="G263" s="192"/>
      <c r="H263" s="192"/>
      <c r="I263" s="192"/>
      <c r="J263" s="192"/>
    </row>
    <row r="264" ht="14.25" customHeight="1">
      <c r="A264" s="158"/>
      <c r="E264" s="192"/>
      <c r="F264" s="192"/>
      <c r="G264" s="192"/>
      <c r="H264" s="192"/>
      <c r="I264" s="192"/>
      <c r="J264" s="192"/>
    </row>
    <row r="265" ht="14.25" customHeight="1">
      <c r="A265" s="158"/>
      <c r="E265" s="192"/>
      <c r="F265" s="192"/>
      <c r="G265" s="192"/>
      <c r="H265" s="192"/>
      <c r="I265" s="192"/>
      <c r="J265" s="192"/>
    </row>
    <row r="266" ht="14.25" customHeight="1">
      <c r="A266" s="158"/>
      <c r="E266" s="192"/>
      <c r="F266" s="192"/>
      <c r="G266" s="192"/>
      <c r="H266" s="192"/>
      <c r="I266" s="192"/>
      <c r="J266" s="192"/>
    </row>
    <row r="267" ht="14.25" customHeight="1">
      <c r="A267" s="158"/>
      <c r="E267" s="192"/>
      <c r="F267" s="192"/>
      <c r="G267" s="192"/>
      <c r="H267" s="192"/>
      <c r="I267" s="192"/>
      <c r="J267" s="192"/>
    </row>
    <row r="268" ht="14.25" customHeight="1">
      <c r="A268" s="158"/>
      <c r="E268" s="192"/>
      <c r="F268" s="192"/>
      <c r="G268" s="192"/>
      <c r="H268" s="192"/>
      <c r="I268" s="192"/>
      <c r="J268" s="192"/>
    </row>
    <row r="269" ht="14.25" customHeight="1">
      <c r="A269" s="158"/>
      <c r="E269" s="192"/>
      <c r="F269" s="192"/>
      <c r="G269" s="192"/>
      <c r="H269" s="192"/>
      <c r="I269" s="192"/>
      <c r="J269" s="192"/>
    </row>
    <row r="270" ht="14.25" customHeight="1">
      <c r="A270" s="158"/>
      <c r="E270" s="192"/>
      <c r="F270" s="192"/>
      <c r="G270" s="192"/>
      <c r="H270" s="192"/>
      <c r="I270" s="192"/>
      <c r="J270" s="192"/>
    </row>
    <row r="271" ht="14.25" customHeight="1">
      <c r="A271" s="158"/>
      <c r="E271" s="192"/>
      <c r="F271" s="192"/>
      <c r="G271" s="192"/>
      <c r="H271" s="192"/>
      <c r="I271" s="192"/>
      <c r="J271" s="192"/>
    </row>
    <row r="272" ht="14.25" customHeight="1">
      <c r="A272" s="158"/>
      <c r="E272" s="192"/>
      <c r="F272" s="192"/>
      <c r="G272" s="192"/>
      <c r="H272" s="192"/>
      <c r="I272" s="192"/>
      <c r="J272" s="192"/>
    </row>
    <row r="273" ht="14.25" customHeight="1">
      <c r="A273" s="158"/>
      <c r="E273" s="192"/>
      <c r="F273" s="192"/>
      <c r="G273" s="192"/>
      <c r="H273" s="192"/>
      <c r="I273" s="192"/>
      <c r="J273" s="192"/>
    </row>
    <row r="274" ht="14.25" customHeight="1">
      <c r="A274" s="158"/>
      <c r="E274" s="192"/>
      <c r="F274" s="192"/>
      <c r="G274" s="192"/>
      <c r="H274" s="192"/>
      <c r="I274" s="192"/>
      <c r="J274" s="192"/>
    </row>
    <row r="275" ht="14.25" customHeight="1">
      <c r="A275" s="158"/>
      <c r="E275" s="192"/>
      <c r="F275" s="192"/>
      <c r="G275" s="192"/>
      <c r="H275" s="192"/>
      <c r="I275" s="192"/>
      <c r="J275" s="192"/>
    </row>
    <row r="276" ht="14.25" customHeight="1">
      <c r="A276" s="158"/>
      <c r="E276" s="192"/>
      <c r="F276" s="192"/>
      <c r="G276" s="192"/>
      <c r="H276" s="192"/>
      <c r="I276" s="192"/>
      <c r="J276" s="192"/>
    </row>
    <row r="277" ht="14.25" customHeight="1">
      <c r="A277" s="158"/>
      <c r="E277" s="192"/>
      <c r="F277" s="192"/>
      <c r="G277" s="192"/>
      <c r="H277" s="192"/>
      <c r="I277" s="192"/>
      <c r="J277" s="192"/>
    </row>
    <row r="278" ht="14.25" customHeight="1">
      <c r="A278" s="158"/>
      <c r="E278" s="192"/>
      <c r="F278" s="192"/>
      <c r="G278" s="192"/>
      <c r="H278" s="192"/>
      <c r="I278" s="192"/>
      <c r="J278" s="192"/>
    </row>
    <row r="279" ht="14.25" customHeight="1">
      <c r="A279" s="158"/>
      <c r="E279" s="192"/>
      <c r="F279" s="192"/>
      <c r="G279" s="192"/>
      <c r="H279" s="192"/>
      <c r="I279" s="192"/>
      <c r="J279" s="192"/>
    </row>
    <row r="280" ht="14.25" customHeight="1">
      <c r="A280" s="158"/>
      <c r="E280" s="192"/>
      <c r="F280" s="192"/>
      <c r="G280" s="192"/>
      <c r="H280" s="192"/>
      <c r="I280" s="192"/>
      <c r="J280" s="192"/>
    </row>
    <row r="281" ht="14.25" customHeight="1">
      <c r="A281" s="158"/>
      <c r="E281" s="192"/>
      <c r="F281" s="192"/>
      <c r="G281" s="192"/>
      <c r="H281" s="192"/>
      <c r="I281" s="192"/>
      <c r="J281" s="192"/>
    </row>
    <row r="282" ht="14.25" customHeight="1">
      <c r="A282" s="158"/>
      <c r="E282" s="192"/>
      <c r="F282" s="192"/>
      <c r="G282" s="192"/>
      <c r="H282" s="192"/>
      <c r="I282" s="192"/>
      <c r="J282" s="192"/>
    </row>
    <row r="283" ht="14.25" customHeight="1">
      <c r="A283" s="158"/>
      <c r="E283" s="192"/>
      <c r="F283" s="192"/>
      <c r="G283" s="192"/>
      <c r="H283" s="192"/>
      <c r="I283" s="192"/>
      <c r="J283" s="192"/>
    </row>
    <row r="284" ht="14.25" customHeight="1">
      <c r="A284" s="158"/>
      <c r="E284" s="192"/>
      <c r="F284" s="192"/>
      <c r="G284" s="192"/>
      <c r="H284" s="192"/>
      <c r="I284" s="192"/>
      <c r="J284" s="192"/>
    </row>
    <row r="285" ht="14.25" customHeight="1">
      <c r="A285" s="158"/>
      <c r="E285" s="192"/>
      <c r="F285" s="192"/>
      <c r="G285" s="192"/>
      <c r="H285" s="192"/>
      <c r="I285" s="192"/>
      <c r="J285" s="192"/>
    </row>
    <row r="286" ht="14.25" customHeight="1">
      <c r="A286" s="158"/>
      <c r="E286" s="192"/>
      <c r="F286" s="192"/>
      <c r="G286" s="192"/>
      <c r="H286" s="192"/>
      <c r="I286" s="192"/>
      <c r="J286" s="192"/>
    </row>
    <row r="287" ht="14.25" customHeight="1">
      <c r="A287" s="158"/>
      <c r="E287" s="192"/>
      <c r="F287" s="192"/>
      <c r="G287" s="192"/>
      <c r="H287" s="192"/>
      <c r="I287" s="192"/>
      <c r="J287" s="192"/>
    </row>
    <row r="288" ht="14.25" customHeight="1">
      <c r="A288" s="158"/>
      <c r="E288" s="192"/>
      <c r="F288" s="192"/>
      <c r="G288" s="192"/>
      <c r="H288" s="192"/>
      <c r="I288" s="192"/>
      <c r="J288" s="192"/>
    </row>
    <row r="289" ht="14.25" customHeight="1">
      <c r="A289" s="158"/>
      <c r="E289" s="192"/>
      <c r="F289" s="192"/>
      <c r="G289" s="192"/>
      <c r="H289" s="192"/>
      <c r="I289" s="192"/>
      <c r="J289" s="192"/>
    </row>
    <row r="290" ht="14.25" customHeight="1">
      <c r="A290" s="158"/>
      <c r="E290" s="192"/>
      <c r="F290" s="192"/>
      <c r="G290" s="192"/>
      <c r="H290" s="192"/>
      <c r="I290" s="192"/>
      <c r="J290" s="192"/>
    </row>
    <row r="291" ht="14.25" customHeight="1">
      <c r="A291" s="158"/>
      <c r="E291" s="192"/>
      <c r="F291" s="192"/>
      <c r="G291" s="192"/>
      <c r="H291" s="192"/>
      <c r="I291" s="192"/>
      <c r="J291" s="192"/>
    </row>
    <row r="292" ht="14.25" customHeight="1">
      <c r="A292" s="158"/>
      <c r="E292" s="192"/>
      <c r="F292" s="192"/>
      <c r="G292" s="192"/>
      <c r="H292" s="192"/>
      <c r="I292" s="192"/>
      <c r="J292" s="192"/>
    </row>
    <row r="293" ht="14.25" customHeight="1">
      <c r="A293" s="158"/>
      <c r="E293" s="192"/>
      <c r="F293" s="192"/>
      <c r="G293" s="192"/>
      <c r="H293" s="192"/>
      <c r="I293" s="192"/>
      <c r="J293" s="192"/>
    </row>
    <row r="294" ht="14.25" customHeight="1">
      <c r="A294" s="158"/>
      <c r="E294" s="192"/>
      <c r="F294" s="192"/>
      <c r="G294" s="192"/>
      <c r="H294" s="192"/>
      <c r="I294" s="192"/>
      <c r="J294" s="192"/>
    </row>
    <row r="295" ht="14.25" customHeight="1">
      <c r="A295" s="158"/>
      <c r="E295" s="192"/>
      <c r="F295" s="192"/>
      <c r="G295" s="192"/>
      <c r="H295" s="192"/>
      <c r="I295" s="192"/>
      <c r="J295" s="192"/>
    </row>
    <row r="296" ht="14.25" customHeight="1">
      <c r="A296" s="158"/>
      <c r="E296" s="192"/>
      <c r="F296" s="192"/>
      <c r="G296" s="192"/>
      <c r="H296" s="192"/>
      <c r="I296" s="192"/>
      <c r="J296" s="192"/>
    </row>
    <row r="297" ht="14.25" customHeight="1">
      <c r="A297" s="158"/>
      <c r="E297" s="192"/>
      <c r="F297" s="192"/>
      <c r="G297" s="192"/>
      <c r="H297" s="192"/>
      <c r="I297" s="192"/>
      <c r="J297" s="192"/>
    </row>
    <row r="298" ht="14.25" customHeight="1">
      <c r="A298" s="158"/>
      <c r="E298" s="192"/>
      <c r="F298" s="192"/>
      <c r="G298" s="192"/>
      <c r="H298" s="192"/>
      <c r="I298" s="192"/>
      <c r="J298" s="192"/>
    </row>
    <row r="299" ht="14.25" customHeight="1">
      <c r="A299" s="158"/>
      <c r="E299" s="192"/>
      <c r="F299" s="192"/>
      <c r="G299" s="192"/>
      <c r="H299" s="192"/>
      <c r="I299" s="192"/>
      <c r="J299" s="192"/>
    </row>
    <row r="300" ht="14.25" customHeight="1">
      <c r="A300" s="158"/>
      <c r="E300" s="192"/>
      <c r="F300" s="192"/>
      <c r="G300" s="192"/>
      <c r="H300" s="192"/>
      <c r="I300" s="192"/>
      <c r="J300" s="192"/>
    </row>
    <row r="301" ht="14.25" customHeight="1">
      <c r="A301" s="158"/>
      <c r="E301" s="192"/>
      <c r="F301" s="192"/>
      <c r="G301" s="192"/>
      <c r="H301" s="192"/>
      <c r="I301" s="192"/>
      <c r="J301" s="192"/>
    </row>
    <row r="302" ht="14.25" customHeight="1">
      <c r="A302" s="158"/>
      <c r="E302" s="192"/>
      <c r="F302" s="192"/>
      <c r="G302" s="192"/>
      <c r="H302" s="192"/>
      <c r="I302" s="192"/>
      <c r="J302" s="192"/>
    </row>
    <row r="303" ht="14.25" customHeight="1">
      <c r="A303" s="158"/>
      <c r="E303" s="192"/>
      <c r="F303" s="192"/>
      <c r="G303" s="192"/>
      <c r="H303" s="192"/>
      <c r="I303" s="192"/>
      <c r="J303" s="192"/>
    </row>
    <row r="304" ht="14.25" customHeight="1">
      <c r="A304" s="158"/>
      <c r="E304" s="192"/>
      <c r="F304" s="192"/>
      <c r="G304" s="192"/>
      <c r="H304" s="192"/>
      <c r="I304" s="192"/>
      <c r="J304" s="192"/>
    </row>
    <row r="305" ht="14.25" customHeight="1">
      <c r="A305" s="158"/>
      <c r="E305" s="192"/>
      <c r="F305" s="192"/>
      <c r="G305" s="192"/>
      <c r="H305" s="192"/>
      <c r="I305" s="192"/>
      <c r="J305" s="192"/>
    </row>
    <row r="306" ht="14.25" customHeight="1">
      <c r="A306" s="158"/>
      <c r="E306" s="192"/>
      <c r="F306" s="192"/>
      <c r="G306" s="192"/>
      <c r="H306" s="192"/>
      <c r="I306" s="192"/>
      <c r="J306" s="192"/>
    </row>
    <row r="307" ht="14.25" customHeight="1">
      <c r="A307" s="158"/>
      <c r="E307" s="192"/>
      <c r="F307" s="192"/>
      <c r="G307" s="192"/>
      <c r="H307" s="192"/>
      <c r="I307" s="192"/>
      <c r="J307" s="192"/>
    </row>
    <row r="308" ht="14.25" customHeight="1">
      <c r="A308" s="158"/>
      <c r="E308" s="192"/>
      <c r="F308" s="192"/>
      <c r="G308" s="192"/>
      <c r="H308" s="192"/>
      <c r="I308" s="192"/>
      <c r="J308" s="192"/>
    </row>
    <row r="309" ht="14.25" customHeight="1">
      <c r="A309" s="158"/>
      <c r="E309" s="192"/>
      <c r="F309" s="192"/>
      <c r="G309" s="192"/>
      <c r="H309" s="192"/>
      <c r="I309" s="192"/>
      <c r="J309" s="192"/>
    </row>
    <row r="310" ht="14.25" customHeight="1">
      <c r="A310" s="158"/>
      <c r="E310" s="192"/>
      <c r="F310" s="192"/>
      <c r="G310" s="192"/>
      <c r="H310" s="192"/>
      <c r="I310" s="192"/>
      <c r="J310" s="192"/>
    </row>
    <row r="311" ht="14.25" customHeight="1">
      <c r="A311" s="158"/>
      <c r="E311" s="192"/>
      <c r="F311" s="192"/>
      <c r="G311" s="192"/>
      <c r="H311" s="192"/>
      <c r="I311" s="192"/>
      <c r="J311" s="192"/>
    </row>
    <row r="312" ht="14.25" customHeight="1">
      <c r="A312" s="158"/>
      <c r="E312" s="192"/>
      <c r="F312" s="192"/>
      <c r="G312" s="192"/>
      <c r="H312" s="192"/>
      <c r="I312" s="192"/>
      <c r="J312" s="192"/>
    </row>
    <row r="313" ht="14.25" customHeight="1">
      <c r="A313" s="158"/>
      <c r="E313" s="192"/>
      <c r="F313" s="192"/>
      <c r="G313" s="192"/>
      <c r="H313" s="192"/>
      <c r="I313" s="192"/>
      <c r="J313" s="192"/>
    </row>
    <row r="314" ht="14.25" customHeight="1">
      <c r="A314" s="158"/>
      <c r="E314" s="192"/>
      <c r="F314" s="192"/>
      <c r="G314" s="192"/>
      <c r="H314" s="192"/>
      <c r="I314" s="192"/>
      <c r="J314" s="192"/>
    </row>
    <row r="315" ht="14.25" customHeight="1">
      <c r="A315" s="158"/>
      <c r="E315" s="192"/>
      <c r="F315" s="192"/>
      <c r="G315" s="192"/>
      <c r="H315" s="192"/>
      <c r="I315" s="192"/>
      <c r="J315" s="192"/>
    </row>
    <row r="316" ht="14.25" customHeight="1">
      <c r="A316" s="158"/>
      <c r="E316" s="192"/>
      <c r="F316" s="192"/>
      <c r="G316" s="192"/>
      <c r="H316" s="192"/>
      <c r="I316" s="192"/>
      <c r="J316" s="192"/>
    </row>
    <row r="317" ht="14.25" customHeight="1">
      <c r="A317" s="158"/>
      <c r="E317" s="192"/>
      <c r="F317" s="192"/>
      <c r="G317" s="192"/>
      <c r="H317" s="192"/>
      <c r="I317" s="192"/>
      <c r="J317" s="192"/>
    </row>
    <row r="318" ht="14.25" customHeight="1">
      <c r="A318" s="158"/>
      <c r="E318" s="192"/>
      <c r="F318" s="192"/>
      <c r="G318" s="192"/>
      <c r="H318" s="192"/>
      <c r="I318" s="192"/>
      <c r="J318" s="192"/>
    </row>
    <row r="319" ht="14.25" customHeight="1">
      <c r="A319" s="158"/>
      <c r="E319" s="192"/>
      <c r="F319" s="192"/>
      <c r="G319" s="192"/>
      <c r="H319" s="192"/>
      <c r="I319" s="192"/>
      <c r="J319" s="192"/>
    </row>
    <row r="320" ht="14.25" customHeight="1">
      <c r="A320" s="158"/>
      <c r="E320" s="192"/>
      <c r="F320" s="192"/>
      <c r="G320" s="192"/>
      <c r="H320" s="192"/>
      <c r="I320" s="192"/>
      <c r="J320" s="192"/>
    </row>
    <row r="321" ht="14.25" customHeight="1">
      <c r="A321" s="158"/>
      <c r="E321" s="192"/>
      <c r="F321" s="192"/>
      <c r="G321" s="192"/>
      <c r="H321" s="192"/>
      <c r="I321" s="192"/>
      <c r="J321" s="192"/>
    </row>
    <row r="322" ht="14.25" customHeight="1">
      <c r="A322" s="158"/>
      <c r="E322" s="192"/>
      <c r="F322" s="192"/>
      <c r="G322" s="192"/>
      <c r="H322" s="192"/>
      <c r="I322" s="192"/>
      <c r="J322" s="192"/>
    </row>
    <row r="323" ht="14.25" customHeight="1">
      <c r="A323" s="158"/>
      <c r="E323" s="192"/>
      <c r="F323" s="192"/>
      <c r="G323" s="192"/>
      <c r="H323" s="192"/>
      <c r="I323" s="192"/>
      <c r="J323" s="192"/>
    </row>
    <row r="324" ht="14.25" customHeight="1">
      <c r="A324" s="158"/>
      <c r="E324" s="192"/>
      <c r="F324" s="192"/>
      <c r="G324" s="192"/>
      <c r="H324" s="192"/>
      <c r="I324" s="192"/>
      <c r="J324" s="192"/>
    </row>
    <row r="325" ht="14.25" customHeight="1">
      <c r="A325" s="158"/>
      <c r="E325" s="192"/>
      <c r="F325" s="192"/>
      <c r="G325" s="192"/>
      <c r="H325" s="192"/>
      <c r="I325" s="192"/>
      <c r="J325" s="192"/>
    </row>
    <row r="326" ht="14.25" customHeight="1">
      <c r="A326" s="158"/>
      <c r="E326" s="192"/>
      <c r="F326" s="192"/>
      <c r="G326" s="192"/>
      <c r="H326" s="192"/>
      <c r="I326" s="192"/>
      <c r="J326" s="192"/>
    </row>
    <row r="327" ht="14.25" customHeight="1">
      <c r="A327" s="158"/>
      <c r="E327" s="192"/>
      <c r="F327" s="192"/>
      <c r="G327" s="192"/>
      <c r="H327" s="192"/>
      <c r="I327" s="192"/>
      <c r="J327" s="192"/>
    </row>
    <row r="328" ht="14.25" customHeight="1">
      <c r="A328" s="158"/>
      <c r="E328" s="192"/>
      <c r="F328" s="192"/>
      <c r="G328" s="192"/>
      <c r="H328" s="192"/>
      <c r="I328" s="192"/>
      <c r="J328" s="192"/>
    </row>
    <row r="329" ht="14.25" customHeight="1">
      <c r="A329" s="158"/>
      <c r="E329" s="192"/>
      <c r="F329" s="192"/>
      <c r="G329" s="192"/>
      <c r="H329" s="192"/>
      <c r="I329" s="192"/>
      <c r="J329" s="192"/>
    </row>
    <row r="330" ht="14.25" customHeight="1">
      <c r="A330" s="158"/>
      <c r="E330" s="192"/>
      <c r="F330" s="192"/>
      <c r="G330" s="192"/>
      <c r="H330" s="192"/>
      <c r="I330" s="192"/>
      <c r="J330" s="192"/>
    </row>
    <row r="331" ht="14.25" customHeight="1">
      <c r="A331" s="158"/>
      <c r="E331" s="192"/>
      <c r="F331" s="192"/>
      <c r="G331" s="192"/>
      <c r="H331" s="192"/>
      <c r="I331" s="192"/>
      <c r="J331" s="192"/>
    </row>
    <row r="332" ht="14.25" customHeight="1">
      <c r="A332" s="158"/>
      <c r="E332" s="192"/>
      <c r="F332" s="192"/>
      <c r="G332" s="192"/>
      <c r="H332" s="192"/>
      <c r="I332" s="192"/>
      <c r="J332" s="192"/>
    </row>
    <row r="333" ht="14.25" customHeight="1">
      <c r="A333" s="158"/>
      <c r="E333" s="192"/>
      <c r="F333" s="192"/>
      <c r="G333" s="192"/>
      <c r="H333" s="192"/>
      <c r="I333" s="192"/>
      <c r="J333" s="192"/>
    </row>
    <row r="334" ht="14.25" customHeight="1">
      <c r="A334" s="158"/>
      <c r="E334" s="192"/>
      <c r="F334" s="192"/>
      <c r="G334" s="192"/>
      <c r="H334" s="192"/>
      <c r="I334" s="192"/>
      <c r="J334" s="192"/>
    </row>
    <row r="335" ht="14.25" customHeight="1">
      <c r="A335" s="158"/>
      <c r="E335" s="192"/>
      <c r="F335" s="192"/>
      <c r="G335" s="192"/>
      <c r="H335" s="192"/>
      <c r="I335" s="192"/>
      <c r="J335" s="192"/>
    </row>
    <row r="336" ht="14.25" customHeight="1">
      <c r="A336" s="158"/>
      <c r="E336" s="192"/>
      <c r="F336" s="192"/>
      <c r="G336" s="192"/>
      <c r="H336" s="192"/>
      <c r="I336" s="192"/>
      <c r="J336" s="192"/>
    </row>
    <row r="337" ht="14.25" customHeight="1">
      <c r="A337" s="158"/>
      <c r="E337" s="192"/>
      <c r="F337" s="192"/>
      <c r="G337" s="192"/>
      <c r="H337" s="192"/>
      <c r="I337" s="192"/>
      <c r="J337" s="192"/>
    </row>
    <row r="338" ht="14.25" customHeight="1">
      <c r="A338" s="158"/>
      <c r="E338" s="192"/>
      <c r="F338" s="192"/>
      <c r="G338" s="192"/>
      <c r="H338" s="192"/>
      <c r="I338" s="192"/>
      <c r="J338" s="192"/>
    </row>
    <row r="339" ht="14.25" customHeight="1">
      <c r="A339" s="158"/>
      <c r="E339" s="192"/>
      <c r="F339" s="192"/>
      <c r="G339" s="192"/>
      <c r="H339" s="192"/>
      <c r="I339" s="192"/>
      <c r="J339" s="192"/>
    </row>
    <row r="340" ht="14.25" customHeight="1">
      <c r="A340" s="158"/>
      <c r="E340" s="192"/>
      <c r="F340" s="192"/>
      <c r="G340" s="192"/>
      <c r="H340" s="192"/>
      <c r="I340" s="192"/>
      <c r="J340" s="192"/>
    </row>
    <row r="341" ht="14.25" customHeight="1">
      <c r="A341" s="158"/>
      <c r="E341" s="192"/>
      <c r="F341" s="192"/>
      <c r="G341" s="192"/>
      <c r="H341" s="192"/>
      <c r="I341" s="192"/>
      <c r="J341" s="192"/>
    </row>
    <row r="342" ht="14.25" customHeight="1">
      <c r="A342" s="158"/>
      <c r="E342" s="192"/>
      <c r="F342" s="192"/>
      <c r="G342" s="192"/>
      <c r="H342" s="192"/>
      <c r="I342" s="192"/>
      <c r="J342" s="192"/>
    </row>
    <row r="343" ht="14.25" customHeight="1">
      <c r="A343" s="158"/>
      <c r="E343" s="192"/>
      <c r="F343" s="192"/>
      <c r="G343" s="192"/>
      <c r="H343" s="192"/>
      <c r="I343" s="192"/>
      <c r="J343" s="192"/>
    </row>
    <row r="344" ht="14.25" customHeight="1">
      <c r="A344" s="158"/>
      <c r="E344" s="192"/>
      <c r="F344" s="192"/>
      <c r="G344" s="192"/>
      <c r="H344" s="192"/>
      <c r="I344" s="192"/>
      <c r="J344" s="192"/>
    </row>
    <row r="345" ht="14.25" customHeight="1">
      <c r="A345" s="158"/>
      <c r="E345" s="192"/>
      <c r="F345" s="192"/>
      <c r="G345" s="192"/>
      <c r="H345" s="192"/>
      <c r="I345" s="192"/>
      <c r="J345" s="192"/>
    </row>
    <row r="346" ht="14.25" customHeight="1">
      <c r="A346" s="158"/>
      <c r="E346" s="192"/>
      <c r="F346" s="192"/>
      <c r="G346" s="192"/>
      <c r="H346" s="192"/>
      <c r="I346" s="192"/>
      <c r="J346" s="192"/>
    </row>
    <row r="347" ht="14.25" customHeight="1">
      <c r="A347" s="158"/>
      <c r="E347" s="192"/>
      <c r="F347" s="192"/>
      <c r="G347" s="192"/>
      <c r="H347" s="192"/>
      <c r="I347" s="192"/>
      <c r="J347" s="192"/>
    </row>
    <row r="348" ht="14.25" customHeight="1">
      <c r="A348" s="158"/>
      <c r="E348" s="192"/>
      <c r="F348" s="192"/>
      <c r="G348" s="192"/>
      <c r="H348" s="192"/>
      <c r="I348" s="192"/>
      <c r="J348" s="192"/>
    </row>
    <row r="349" ht="14.25" customHeight="1">
      <c r="A349" s="158"/>
      <c r="E349" s="192"/>
      <c r="F349" s="192"/>
      <c r="G349" s="192"/>
      <c r="H349" s="192"/>
      <c r="I349" s="192"/>
      <c r="J349" s="192"/>
    </row>
    <row r="350" ht="14.25" customHeight="1">
      <c r="A350" s="158"/>
      <c r="E350" s="192"/>
      <c r="F350" s="192"/>
      <c r="G350" s="192"/>
      <c r="H350" s="192"/>
      <c r="I350" s="192"/>
      <c r="J350" s="192"/>
    </row>
    <row r="351" ht="14.25" customHeight="1">
      <c r="A351" s="158"/>
      <c r="E351" s="192"/>
      <c r="F351" s="192"/>
      <c r="G351" s="192"/>
      <c r="H351" s="192"/>
      <c r="I351" s="192"/>
      <c r="J351" s="192"/>
    </row>
    <row r="352" ht="14.25" customHeight="1">
      <c r="A352" s="158"/>
      <c r="E352" s="192"/>
      <c r="F352" s="192"/>
      <c r="G352" s="192"/>
      <c r="H352" s="192"/>
      <c r="I352" s="192"/>
      <c r="J352" s="192"/>
    </row>
    <row r="353" ht="14.25" customHeight="1">
      <c r="A353" s="158"/>
      <c r="E353" s="192"/>
      <c r="F353" s="192"/>
      <c r="G353" s="192"/>
      <c r="H353" s="192"/>
      <c r="I353" s="192"/>
      <c r="J353" s="192"/>
    </row>
    <row r="354" ht="14.25" customHeight="1">
      <c r="A354" s="158"/>
      <c r="E354" s="192"/>
      <c r="F354" s="192"/>
      <c r="G354" s="192"/>
      <c r="H354" s="192"/>
      <c r="I354" s="192"/>
      <c r="J354" s="192"/>
    </row>
    <row r="355" ht="14.25" customHeight="1">
      <c r="A355" s="158"/>
      <c r="E355" s="192"/>
      <c r="F355" s="192"/>
      <c r="G355" s="192"/>
      <c r="H355" s="192"/>
      <c r="I355" s="192"/>
      <c r="J355" s="192"/>
    </row>
    <row r="356" ht="14.25" customHeight="1">
      <c r="A356" s="158"/>
      <c r="E356" s="192"/>
      <c r="F356" s="192"/>
      <c r="G356" s="192"/>
      <c r="H356" s="192"/>
      <c r="I356" s="192"/>
      <c r="J356" s="192"/>
    </row>
    <row r="357" ht="14.25" customHeight="1">
      <c r="A357" s="158"/>
      <c r="E357" s="192"/>
      <c r="F357" s="192"/>
      <c r="G357" s="192"/>
      <c r="H357" s="192"/>
      <c r="I357" s="192"/>
      <c r="J357" s="192"/>
    </row>
    <row r="358" ht="14.25" customHeight="1">
      <c r="A358" s="158"/>
      <c r="E358" s="192"/>
      <c r="F358" s="192"/>
      <c r="G358" s="192"/>
      <c r="H358" s="192"/>
      <c r="I358" s="192"/>
      <c r="J358" s="192"/>
    </row>
    <row r="359" ht="14.25" customHeight="1">
      <c r="A359" s="158"/>
      <c r="E359" s="192"/>
      <c r="F359" s="192"/>
      <c r="G359" s="192"/>
      <c r="H359" s="192"/>
      <c r="I359" s="192"/>
      <c r="J359" s="192"/>
    </row>
    <row r="360" ht="14.25" customHeight="1">
      <c r="A360" s="158"/>
      <c r="E360" s="192"/>
      <c r="F360" s="192"/>
      <c r="G360" s="192"/>
      <c r="H360" s="192"/>
      <c r="I360" s="192"/>
      <c r="J360" s="192"/>
    </row>
    <row r="361" ht="14.25" customHeight="1">
      <c r="A361" s="158"/>
      <c r="E361" s="192"/>
      <c r="F361" s="192"/>
      <c r="G361" s="192"/>
      <c r="H361" s="192"/>
      <c r="I361" s="192"/>
      <c r="J361" s="192"/>
    </row>
    <row r="362" ht="14.25" customHeight="1">
      <c r="A362" s="158"/>
      <c r="E362" s="192"/>
      <c r="F362" s="192"/>
      <c r="G362" s="192"/>
      <c r="H362" s="192"/>
      <c r="I362" s="192"/>
      <c r="J362" s="192"/>
    </row>
    <row r="363" ht="14.25" customHeight="1">
      <c r="A363" s="158"/>
      <c r="E363" s="192"/>
      <c r="F363" s="192"/>
      <c r="G363" s="192"/>
      <c r="H363" s="192"/>
      <c r="I363" s="192"/>
      <c r="J363" s="192"/>
    </row>
    <row r="364" ht="14.25" customHeight="1">
      <c r="A364" s="158"/>
      <c r="E364" s="192"/>
      <c r="F364" s="192"/>
      <c r="G364" s="192"/>
      <c r="H364" s="192"/>
      <c r="I364" s="192"/>
      <c r="J364" s="192"/>
    </row>
    <row r="365" ht="14.25" customHeight="1">
      <c r="A365" s="158"/>
      <c r="E365" s="192"/>
      <c r="F365" s="192"/>
      <c r="G365" s="192"/>
      <c r="H365" s="192"/>
      <c r="I365" s="192"/>
      <c r="J365" s="192"/>
    </row>
    <row r="366" ht="14.25" customHeight="1">
      <c r="A366" s="158"/>
      <c r="E366" s="192"/>
      <c r="F366" s="192"/>
      <c r="G366" s="192"/>
      <c r="H366" s="192"/>
      <c r="I366" s="192"/>
      <c r="J366" s="192"/>
    </row>
    <row r="367" ht="14.25" customHeight="1">
      <c r="A367" s="158"/>
      <c r="E367" s="192"/>
      <c r="F367" s="192"/>
      <c r="G367" s="192"/>
      <c r="H367" s="192"/>
      <c r="I367" s="192"/>
      <c r="J367" s="192"/>
    </row>
    <row r="368" ht="14.25" customHeight="1">
      <c r="A368" s="158"/>
      <c r="E368" s="192"/>
      <c r="F368" s="192"/>
      <c r="G368" s="192"/>
      <c r="H368" s="192"/>
      <c r="I368" s="192"/>
      <c r="J368" s="192"/>
    </row>
    <row r="369" ht="14.25" customHeight="1">
      <c r="A369" s="158"/>
      <c r="E369" s="192"/>
      <c r="F369" s="192"/>
      <c r="G369" s="192"/>
      <c r="H369" s="192"/>
      <c r="I369" s="192"/>
      <c r="J369" s="192"/>
    </row>
    <row r="370" ht="14.25" customHeight="1">
      <c r="A370" s="158"/>
      <c r="E370" s="192"/>
      <c r="F370" s="192"/>
      <c r="G370" s="192"/>
      <c r="H370" s="192"/>
      <c r="I370" s="192"/>
      <c r="J370" s="192"/>
    </row>
    <row r="371" ht="14.25" customHeight="1">
      <c r="A371" s="158"/>
      <c r="E371" s="192"/>
      <c r="F371" s="192"/>
      <c r="G371" s="192"/>
      <c r="H371" s="192"/>
      <c r="I371" s="192"/>
      <c r="J371" s="192"/>
    </row>
    <row r="372" ht="14.25" customHeight="1">
      <c r="A372" s="158"/>
      <c r="E372" s="192"/>
      <c r="F372" s="192"/>
      <c r="G372" s="192"/>
      <c r="H372" s="192"/>
      <c r="I372" s="192"/>
      <c r="J372" s="192"/>
    </row>
    <row r="373" ht="14.25" customHeight="1">
      <c r="A373" s="158"/>
      <c r="E373" s="192"/>
      <c r="F373" s="192"/>
      <c r="G373" s="192"/>
      <c r="H373" s="192"/>
      <c r="I373" s="192"/>
      <c r="J373" s="192"/>
    </row>
    <row r="374" ht="14.25" customHeight="1">
      <c r="A374" s="158"/>
      <c r="E374" s="192"/>
      <c r="F374" s="192"/>
      <c r="G374" s="192"/>
      <c r="H374" s="192"/>
      <c r="I374" s="192"/>
      <c r="J374" s="192"/>
    </row>
    <row r="375" ht="14.25" customHeight="1">
      <c r="A375" s="158"/>
      <c r="E375" s="192"/>
      <c r="F375" s="192"/>
      <c r="G375" s="192"/>
      <c r="H375" s="192"/>
      <c r="I375" s="192"/>
      <c r="J375" s="192"/>
    </row>
    <row r="376" ht="14.25" customHeight="1">
      <c r="A376" s="158"/>
      <c r="E376" s="192"/>
      <c r="F376" s="192"/>
      <c r="G376" s="192"/>
      <c r="H376" s="192"/>
      <c r="I376" s="192"/>
      <c r="J376" s="192"/>
    </row>
    <row r="377" ht="14.25" customHeight="1">
      <c r="A377" s="158"/>
      <c r="E377" s="192"/>
      <c r="F377" s="192"/>
      <c r="G377" s="192"/>
      <c r="H377" s="192"/>
      <c r="I377" s="192"/>
      <c r="J377" s="192"/>
    </row>
    <row r="378" ht="14.25" customHeight="1">
      <c r="A378" s="158"/>
      <c r="E378" s="192"/>
      <c r="F378" s="192"/>
      <c r="G378" s="192"/>
      <c r="H378" s="192"/>
      <c r="I378" s="192"/>
      <c r="J378" s="192"/>
    </row>
    <row r="379" ht="14.25" customHeight="1">
      <c r="A379" s="158"/>
      <c r="E379" s="192"/>
      <c r="F379" s="192"/>
      <c r="G379" s="192"/>
      <c r="H379" s="192"/>
      <c r="I379" s="192"/>
      <c r="J379" s="192"/>
    </row>
    <row r="380" ht="14.25" customHeight="1">
      <c r="A380" s="158"/>
      <c r="E380" s="192"/>
      <c r="F380" s="192"/>
      <c r="G380" s="192"/>
      <c r="H380" s="192"/>
      <c r="I380" s="192"/>
      <c r="J380" s="192"/>
    </row>
    <row r="381" ht="14.25" customHeight="1">
      <c r="A381" s="158"/>
      <c r="E381" s="192"/>
      <c r="F381" s="192"/>
      <c r="G381" s="192"/>
      <c r="H381" s="192"/>
      <c r="I381" s="192"/>
      <c r="J381" s="192"/>
    </row>
    <row r="382" ht="14.25" customHeight="1">
      <c r="A382" s="158"/>
      <c r="E382" s="192"/>
      <c r="F382" s="192"/>
      <c r="G382" s="192"/>
      <c r="H382" s="192"/>
      <c r="I382" s="192"/>
      <c r="J382" s="192"/>
    </row>
    <row r="383" ht="14.25" customHeight="1">
      <c r="A383" s="158"/>
      <c r="E383" s="192"/>
      <c r="F383" s="192"/>
      <c r="G383" s="192"/>
      <c r="H383" s="192"/>
      <c r="I383" s="192"/>
      <c r="J383" s="192"/>
    </row>
    <row r="384" ht="14.25" customHeight="1">
      <c r="A384" s="158"/>
      <c r="E384" s="192"/>
      <c r="F384" s="192"/>
      <c r="G384" s="192"/>
      <c r="H384" s="192"/>
      <c r="I384" s="192"/>
      <c r="J384" s="192"/>
    </row>
    <row r="385" ht="14.25" customHeight="1">
      <c r="A385" s="158"/>
      <c r="E385" s="192"/>
      <c r="F385" s="192"/>
      <c r="G385" s="192"/>
      <c r="H385" s="192"/>
      <c r="I385" s="192"/>
      <c r="J385" s="192"/>
    </row>
    <row r="386" ht="14.25" customHeight="1">
      <c r="A386" s="158"/>
      <c r="E386" s="192"/>
      <c r="F386" s="192"/>
      <c r="G386" s="192"/>
      <c r="H386" s="192"/>
      <c r="I386" s="192"/>
      <c r="J386" s="192"/>
    </row>
    <row r="387" ht="14.25" customHeight="1">
      <c r="A387" s="158"/>
      <c r="E387" s="192"/>
      <c r="F387" s="192"/>
      <c r="G387" s="192"/>
      <c r="H387" s="192"/>
      <c r="I387" s="192"/>
      <c r="J387" s="192"/>
    </row>
    <row r="388" ht="14.25" customHeight="1">
      <c r="A388" s="158"/>
      <c r="E388" s="192"/>
      <c r="F388" s="192"/>
      <c r="G388" s="192"/>
      <c r="H388" s="192"/>
      <c r="I388" s="192"/>
      <c r="J388" s="192"/>
    </row>
    <row r="389" ht="14.25" customHeight="1">
      <c r="A389" s="158"/>
      <c r="E389" s="192"/>
      <c r="F389" s="192"/>
      <c r="G389" s="192"/>
      <c r="H389" s="192"/>
      <c r="I389" s="192"/>
      <c r="J389" s="192"/>
    </row>
    <row r="390" ht="14.25" customHeight="1">
      <c r="A390" s="158"/>
      <c r="E390" s="192"/>
      <c r="F390" s="192"/>
      <c r="G390" s="192"/>
      <c r="H390" s="192"/>
      <c r="I390" s="192"/>
      <c r="J390" s="192"/>
    </row>
    <row r="391" ht="14.25" customHeight="1">
      <c r="A391" s="158"/>
      <c r="E391" s="192"/>
      <c r="F391" s="192"/>
      <c r="G391" s="192"/>
      <c r="H391" s="192"/>
      <c r="I391" s="192"/>
      <c r="J391" s="192"/>
    </row>
    <row r="392" ht="14.25" customHeight="1">
      <c r="A392" s="158"/>
      <c r="E392" s="192"/>
      <c r="F392" s="192"/>
      <c r="G392" s="192"/>
      <c r="H392" s="192"/>
      <c r="I392" s="192"/>
      <c r="J392" s="192"/>
    </row>
    <row r="393" ht="14.25" customHeight="1">
      <c r="A393" s="158"/>
      <c r="E393" s="192"/>
      <c r="F393" s="192"/>
      <c r="G393" s="192"/>
      <c r="H393" s="192"/>
      <c r="I393" s="192"/>
      <c r="J393" s="192"/>
    </row>
    <row r="394" ht="14.25" customHeight="1">
      <c r="A394" s="158"/>
      <c r="E394" s="192"/>
      <c r="F394" s="192"/>
      <c r="G394" s="192"/>
      <c r="H394" s="192"/>
      <c r="I394" s="192"/>
      <c r="J394" s="192"/>
    </row>
    <row r="395" ht="14.25" customHeight="1">
      <c r="A395" s="158"/>
      <c r="E395" s="192"/>
      <c r="F395" s="192"/>
      <c r="G395" s="192"/>
      <c r="H395" s="192"/>
      <c r="I395" s="192"/>
      <c r="J395" s="192"/>
    </row>
    <row r="396" ht="14.25" customHeight="1">
      <c r="A396" s="158"/>
      <c r="E396" s="192"/>
      <c r="F396" s="192"/>
      <c r="G396" s="192"/>
      <c r="H396" s="192"/>
      <c r="I396" s="192"/>
      <c r="J396" s="192"/>
    </row>
    <row r="397" ht="14.25" customHeight="1">
      <c r="A397" s="158"/>
      <c r="E397" s="192"/>
      <c r="F397" s="192"/>
      <c r="G397" s="192"/>
      <c r="H397" s="192"/>
      <c r="I397" s="192"/>
      <c r="J397" s="192"/>
    </row>
    <row r="398" ht="14.25" customHeight="1">
      <c r="A398" s="158"/>
      <c r="E398" s="192"/>
      <c r="F398" s="192"/>
      <c r="G398" s="192"/>
      <c r="H398" s="192"/>
      <c r="I398" s="192"/>
      <c r="J398" s="192"/>
    </row>
    <row r="399" ht="14.25" customHeight="1">
      <c r="A399" s="158"/>
      <c r="E399" s="192"/>
      <c r="F399" s="192"/>
      <c r="G399" s="192"/>
      <c r="H399" s="192"/>
      <c r="I399" s="192"/>
      <c r="J399" s="192"/>
    </row>
    <row r="400" ht="14.25" customHeight="1">
      <c r="A400" s="158"/>
      <c r="E400" s="192"/>
      <c r="F400" s="192"/>
      <c r="G400" s="192"/>
      <c r="H400" s="192"/>
      <c r="I400" s="192"/>
      <c r="J400" s="192"/>
    </row>
    <row r="401" ht="14.25" customHeight="1">
      <c r="A401" s="158"/>
      <c r="E401" s="192"/>
      <c r="F401" s="192"/>
      <c r="G401" s="192"/>
      <c r="H401" s="192"/>
      <c r="I401" s="192"/>
      <c r="J401" s="192"/>
    </row>
    <row r="402" ht="14.25" customHeight="1">
      <c r="A402" s="158"/>
      <c r="E402" s="192"/>
      <c r="F402" s="192"/>
      <c r="G402" s="192"/>
      <c r="H402" s="192"/>
      <c r="I402" s="192"/>
      <c r="J402" s="192"/>
    </row>
    <row r="403" ht="14.25" customHeight="1">
      <c r="A403" s="158"/>
      <c r="E403" s="192"/>
      <c r="F403" s="192"/>
      <c r="G403" s="192"/>
      <c r="H403" s="192"/>
      <c r="I403" s="192"/>
      <c r="J403" s="192"/>
    </row>
    <row r="404" ht="14.25" customHeight="1">
      <c r="A404" s="158"/>
      <c r="E404" s="192"/>
      <c r="F404" s="192"/>
      <c r="G404" s="192"/>
      <c r="H404" s="192"/>
      <c r="I404" s="192"/>
      <c r="J404" s="192"/>
    </row>
    <row r="405" ht="14.25" customHeight="1">
      <c r="A405" s="158"/>
      <c r="E405" s="192"/>
      <c r="F405" s="192"/>
      <c r="G405" s="192"/>
      <c r="H405" s="192"/>
      <c r="I405" s="192"/>
      <c r="J405" s="192"/>
    </row>
    <row r="406" ht="14.25" customHeight="1">
      <c r="A406" s="158"/>
      <c r="E406" s="192"/>
      <c r="F406" s="192"/>
      <c r="G406" s="192"/>
      <c r="H406" s="192"/>
      <c r="I406" s="192"/>
      <c r="J406" s="192"/>
    </row>
    <row r="407" ht="14.25" customHeight="1">
      <c r="A407" s="158"/>
      <c r="E407" s="192"/>
      <c r="F407" s="192"/>
      <c r="G407" s="192"/>
      <c r="H407" s="192"/>
      <c r="I407" s="192"/>
      <c r="J407" s="192"/>
    </row>
    <row r="408" ht="14.25" customHeight="1">
      <c r="A408" s="158"/>
      <c r="E408" s="192"/>
      <c r="F408" s="192"/>
      <c r="G408" s="192"/>
      <c r="H408" s="192"/>
      <c r="I408" s="192"/>
      <c r="J408" s="192"/>
    </row>
    <row r="409" ht="14.25" customHeight="1">
      <c r="A409" s="158"/>
      <c r="E409" s="192"/>
      <c r="F409" s="192"/>
      <c r="G409" s="192"/>
      <c r="H409" s="192"/>
      <c r="I409" s="192"/>
      <c r="J409" s="192"/>
    </row>
    <row r="410" ht="14.25" customHeight="1">
      <c r="A410" s="158"/>
      <c r="E410" s="192"/>
      <c r="F410" s="192"/>
      <c r="G410" s="192"/>
      <c r="H410" s="192"/>
      <c r="I410" s="192"/>
      <c r="J410" s="192"/>
    </row>
    <row r="411" ht="14.25" customHeight="1">
      <c r="A411" s="158"/>
      <c r="E411" s="192"/>
      <c r="F411" s="192"/>
      <c r="G411" s="192"/>
      <c r="H411" s="192"/>
      <c r="I411" s="192"/>
      <c r="J411" s="192"/>
    </row>
    <row r="412" ht="14.25" customHeight="1">
      <c r="A412" s="158"/>
      <c r="E412" s="192"/>
      <c r="F412" s="192"/>
      <c r="G412" s="192"/>
      <c r="H412" s="192"/>
      <c r="I412" s="192"/>
      <c r="J412" s="192"/>
    </row>
    <row r="413" ht="14.25" customHeight="1">
      <c r="A413" s="158"/>
      <c r="E413" s="192"/>
      <c r="F413" s="192"/>
      <c r="G413" s="192"/>
      <c r="H413" s="192"/>
      <c r="I413" s="192"/>
      <c r="J413" s="192"/>
    </row>
    <row r="414" ht="14.25" customHeight="1">
      <c r="A414" s="158"/>
      <c r="E414" s="192"/>
      <c r="F414" s="192"/>
      <c r="G414" s="192"/>
      <c r="H414" s="192"/>
      <c r="I414" s="192"/>
      <c r="J414" s="192"/>
    </row>
    <row r="415" ht="14.25" customHeight="1">
      <c r="A415" s="158"/>
      <c r="E415" s="192"/>
      <c r="F415" s="192"/>
      <c r="G415" s="192"/>
      <c r="H415" s="192"/>
      <c r="I415" s="192"/>
      <c r="J415" s="192"/>
    </row>
    <row r="416" ht="14.25" customHeight="1">
      <c r="A416" s="158"/>
      <c r="E416" s="192"/>
      <c r="F416" s="192"/>
      <c r="G416" s="192"/>
      <c r="H416" s="192"/>
      <c r="I416" s="192"/>
      <c r="J416" s="192"/>
    </row>
    <row r="417" ht="14.25" customHeight="1">
      <c r="A417" s="158"/>
      <c r="E417" s="192"/>
      <c r="F417" s="192"/>
      <c r="G417" s="192"/>
      <c r="H417" s="192"/>
      <c r="I417" s="192"/>
      <c r="J417" s="192"/>
    </row>
    <row r="418" ht="14.25" customHeight="1">
      <c r="A418" s="158"/>
      <c r="E418" s="192"/>
      <c r="F418" s="192"/>
      <c r="G418" s="192"/>
      <c r="H418" s="192"/>
      <c r="I418" s="192"/>
      <c r="J418" s="192"/>
    </row>
    <row r="419" ht="14.25" customHeight="1">
      <c r="A419" s="158"/>
      <c r="E419" s="192"/>
      <c r="F419" s="192"/>
      <c r="G419" s="192"/>
      <c r="H419" s="192"/>
      <c r="I419" s="192"/>
      <c r="J419" s="192"/>
    </row>
    <row r="420" ht="14.25" customHeight="1">
      <c r="A420" s="158"/>
      <c r="E420" s="192"/>
      <c r="F420" s="192"/>
      <c r="G420" s="192"/>
      <c r="H420" s="192"/>
      <c r="I420" s="192"/>
      <c r="J420" s="192"/>
    </row>
    <row r="421" ht="14.25" customHeight="1">
      <c r="A421" s="158"/>
      <c r="E421" s="192"/>
      <c r="F421" s="192"/>
      <c r="G421" s="192"/>
      <c r="H421" s="192"/>
      <c r="I421" s="192"/>
      <c r="J421" s="192"/>
    </row>
    <row r="422" ht="14.25" customHeight="1">
      <c r="A422" s="158"/>
      <c r="E422" s="192"/>
      <c r="F422" s="192"/>
      <c r="G422" s="192"/>
      <c r="H422" s="192"/>
      <c r="I422" s="192"/>
      <c r="J422" s="192"/>
    </row>
    <row r="423" ht="14.25" customHeight="1">
      <c r="A423" s="158"/>
      <c r="E423" s="192"/>
      <c r="F423" s="192"/>
      <c r="G423" s="192"/>
      <c r="H423" s="192"/>
      <c r="I423" s="192"/>
      <c r="J423" s="192"/>
    </row>
    <row r="424" ht="14.25" customHeight="1">
      <c r="A424" s="158"/>
      <c r="E424" s="192"/>
      <c r="F424" s="192"/>
      <c r="G424" s="192"/>
      <c r="H424" s="192"/>
      <c r="I424" s="192"/>
      <c r="J424" s="192"/>
    </row>
    <row r="425" ht="14.25" customHeight="1">
      <c r="A425" s="158"/>
      <c r="E425" s="192"/>
      <c r="F425" s="192"/>
      <c r="G425" s="192"/>
      <c r="H425" s="192"/>
      <c r="I425" s="192"/>
      <c r="J425" s="192"/>
    </row>
    <row r="426" ht="14.25" customHeight="1">
      <c r="A426" s="158"/>
      <c r="E426" s="192"/>
      <c r="F426" s="192"/>
      <c r="G426" s="192"/>
      <c r="H426" s="192"/>
      <c r="I426" s="192"/>
      <c r="J426" s="192"/>
    </row>
    <row r="427" ht="14.25" customHeight="1">
      <c r="A427" s="158"/>
      <c r="E427" s="192"/>
      <c r="F427" s="192"/>
      <c r="G427" s="192"/>
      <c r="H427" s="192"/>
      <c r="I427" s="192"/>
      <c r="J427" s="192"/>
    </row>
    <row r="428" ht="14.25" customHeight="1">
      <c r="A428" s="158"/>
      <c r="E428" s="192"/>
      <c r="F428" s="192"/>
      <c r="G428" s="192"/>
      <c r="H428" s="192"/>
      <c r="I428" s="192"/>
      <c r="J428" s="192"/>
    </row>
    <row r="429" ht="14.25" customHeight="1">
      <c r="A429" s="158"/>
      <c r="E429" s="192"/>
      <c r="F429" s="192"/>
      <c r="G429" s="192"/>
      <c r="H429" s="192"/>
      <c r="I429" s="192"/>
      <c r="J429" s="192"/>
    </row>
    <row r="430" ht="14.25" customHeight="1">
      <c r="A430" s="158"/>
      <c r="E430" s="192"/>
      <c r="F430" s="192"/>
      <c r="G430" s="192"/>
      <c r="H430" s="192"/>
      <c r="I430" s="192"/>
      <c r="J430" s="192"/>
    </row>
    <row r="431" ht="14.25" customHeight="1">
      <c r="A431" s="158"/>
      <c r="E431" s="192"/>
      <c r="F431" s="192"/>
      <c r="G431" s="192"/>
      <c r="H431" s="192"/>
      <c r="I431" s="192"/>
      <c r="J431" s="192"/>
    </row>
    <row r="432" ht="14.25" customHeight="1">
      <c r="A432" s="158"/>
      <c r="E432" s="192"/>
      <c r="F432" s="192"/>
      <c r="G432" s="192"/>
      <c r="H432" s="192"/>
      <c r="I432" s="192"/>
      <c r="J432" s="192"/>
    </row>
    <row r="433" ht="14.25" customHeight="1">
      <c r="A433" s="158"/>
      <c r="E433" s="192"/>
      <c r="F433" s="192"/>
      <c r="G433" s="192"/>
      <c r="H433" s="192"/>
      <c r="I433" s="192"/>
      <c r="J433" s="192"/>
    </row>
    <row r="434" ht="14.25" customHeight="1">
      <c r="A434" s="158"/>
      <c r="E434" s="192"/>
      <c r="F434" s="192"/>
      <c r="G434" s="192"/>
      <c r="H434" s="192"/>
      <c r="I434" s="192"/>
      <c r="J434" s="192"/>
    </row>
    <row r="435" ht="14.25" customHeight="1">
      <c r="A435" s="158"/>
      <c r="E435" s="192"/>
      <c r="F435" s="192"/>
      <c r="G435" s="192"/>
      <c r="H435" s="192"/>
      <c r="I435" s="192"/>
      <c r="J435" s="192"/>
    </row>
    <row r="436" ht="14.25" customHeight="1">
      <c r="A436" s="158"/>
      <c r="E436" s="192"/>
      <c r="F436" s="192"/>
      <c r="G436" s="192"/>
      <c r="H436" s="192"/>
      <c r="I436" s="192"/>
      <c r="J436" s="192"/>
    </row>
    <row r="437" ht="14.25" customHeight="1">
      <c r="A437" s="158"/>
      <c r="E437" s="192"/>
      <c r="F437" s="192"/>
      <c r="G437" s="192"/>
      <c r="H437" s="192"/>
      <c r="I437" s="192"/>
      <c r="J437" s="192"/>
    </row>
    <row r="438" ht="14.25" customHeight="1">
      <c r="A438" s="158"/>
      <c r="E438" s="192"/>
      <c r="F438" s="192"/>
      <c r="G438" s="192"/>
      <c r="H438" s="192"/>
      <c r="I438" s="192"/>
      <c r="J438" s="192"/>
    </row>
    <row r="439" ht="14.25" customHeight="1">
      <c r="A439" s="158"/>
      <c r="E439" s="192"/>
      <c r="F439" s="192"/>
      <c r="G439" s="192"/>
      <c r="H439" s="192"/>
      <c r="I439" s="192"/>
      <c r="J439" s="192"/>
    </row>
    <row r="440" ht="14.25" customHeight="1">
      <c r="A440" s="158"/>
      <c r="E440" s="192"/>
      <c r="F440" s="192"/>
      <c r="G440" s="192"/>
      <c r="H440" s="192"/>
      <c r="I440" s="192"/>
      <c r="J440" s="192"/>
    </row>
    <row r="441" ht="14.25" customHeight="1">
      <c r="A441" s="158"/>
      <c r="E441" s="192"/>
      <c r="F441" s="192"/>
      <c r="G441" s="192"/>
      <c r="H441" s="192"/>
      <c r="I441" s="192"/>
      <c r="J441" s="192"/>
    </row>
    <row r="442" ht="14.25" customHeight="1">
      <c r="A442" s="158"/>
      <c r="E442" s="192"/>
      <c r="F442" s="192"/>
      <c r="G442" s="192"/>
      <c r="H442" s="192"/>
      <c r="I442" s="192"/>
      <c r="J442" s="192"/>
    </row>
    <row r="443" ht="14.25" customHeight="1">
      <c r="A443" s="158"/>
      <c r="E443" s="192"/>
      <c r="F443" s="192"/>
      <c r="G443" s="192"/>
      <c r="H443" s="192"/>
      <c r="I443" s="192"/>
      <c r="J443" s="192"/>
    </row>
    <row r="444" ht="14.25" customHeight="1">
      <c r="A444" s="158"/>
      <c r="E444" s="192"/>
      <c r="F444" s="192"/>
      <c r="G444" s="192"/>
      <c r="H444" s="192"/>
      <c r="I444" s="192"/>
      <c r="J444" s="192"/>
    </row>
    <row r="445" ht="14.25" customHeight="1">
      <c r="A445" s="158"/>
      <c r="E445" s="192"/>
      <c r="F445" s="192"/>
      <c r="G445" s="192"/>
      <c r="H445" s="192"/>
      <c r="I445" s="192"/>
      <c r="J445" s="192"/>
    </row>
    <row r="446" ht="14.25" customHeight="1">
      <c r="A446" s="158"/>
      <c r="E446" s="192"/>
      <c r="F446" s="192"/>
      <c r="G446" s="192"/>
      <c r="H446" s="192"/>
      <c r="I446" s="192"/>
      <c r="J446" s="192"/>
    </row>
    <row r="447" ht="14.25" customHeight="1">
      <c r="A447" s="158"/>
      <c r="E447" s="192"/>
      <c r="F447" s="192"/>
      <c r="G447" s="192"/>
      <c r="H447" s="192"/>
      <c r="I447" s="192"/>
      <c r="J447" s="192"/>
    </row>
    <row r="448" ht="14.25" customHeight="1">
      <c r="A448" s="158"/>
      <c r="E448" s="192"/>
      <c r="F448" s="192"/>
      <c r="G448" s="192"/>
      <c r="H448" s="192"/>
      <c r="I448" s="192"/>
      <c r="J448" s="192"/>
    </row>
    <row r="449" ht="14.25" customHeight="1">
      <c r="A449" s="158"/>
      <c r="E449" s="192"/>
      <c r="F449" s="192"/>
      <c r="G449" s="192"/>
      <c r="H449" s="192"/>
      <c r="I449" s="192"/>
      <c r="J449" s="192"/>
    </row>
    <row r="450" ht="14.25" customHeight="1">
      <c r="A450" s="158"/>
      <c r="E450" s="192"/>
      <c r="F450" s="192"/>
      <c r="G450" s="192"/>
      <c r="H450" s="192"/>
      <c r="I450" s="192"/>
      <c r="J450" s="192"/>
    </row>
    <row r="451" ht="14.25" customHeight="1">
      <c r="A451" s="158"/>
      <c r="E451" s="192"/>
      <c r="F451" s="192"/>
      <c r="G451" s="192"/>
      <c r="H451" s="192"/>
      <c r="I451" s="192"/>
      <c r="J451" s="192"/>
    </row>
    <row r="452" ht="14.25" customHeight="1">
      <c r="A452" s="158"/>
      <c r="E452" s="192"/>
      <c r="F452" s="192"/>
      <c r="G452" s="192"/>
      <c r="H452" s="192"/>
      <c r="I452" s="192"/>
      <c r="J452" s="192"/>
    </row>
    <row r="453" ht="14.25" customHeight="1">
      <c r="A453" s="158"/>
      <c r="E453" s="192"/>
      <c r="F453" s="192"/>
      <c r="G453" s="192"/>
      <c r="H453" s="192"/>
      <c r="I453" s="192"/>
      <c r="J453" s="192"/>
    </row>
    <row r="454" ht="14.25" customHeight="1">
      <c r="A454" s="158"/>
      <c r="E454" s="192"/>
      <c r="F454" s="192"/>
      <c r="G454" s="192"/>
      <c r="H454" s="192"/>
      <c r="I454" s="192"/>
      <c r="J454" s="192"/>
    </row>
    <row r="455" ht="14.25" customHeight="1">
      <c r="A455" s="158"/>
      <c r="E455" s="192"/>
      <c r="F455" s="192"/>
      <c r="G455" s="192"/>
      <c r="H455" s="192"/>
      <c r="I455" s="192"/>
      <c r="J455" s="192"/>
    </row>
    <row r="456" ht="14.25" customHeight="1">
      <c r="A456" s="158"/>
      <c r="E456" s="192"/>
      <c r="F456" s="192"/>
      <c r="G456" s="192"/>
      <c r="H456" s="192"/>
      <c r="I456" s="192"/>
      <c r="J456" s="192"/>
    </row>
    <row r="457" ht="14.25" customHeight="1">
      <c r="A457" s="158"/>
      <c r="E457" s="192"/>
      <c r="F457" s="192"/>
      <c r="G457" s="192"/>
      <c r="H457" s="192"/>
      <c r="I457" s="192"/>
      <c r="J457" s="192"/>
    </row>
    <row r="458" ht="14.25" customHeight="1">
      <c r="A458" s="158"/>
      <c r="E458" s="192"/>
      <c r="F458" s="192"/>
      <c r="G458" s="192"/>
      <c r="H458" s="192"/>
      <c r="I458" s="192"/>
      <c r="J458" s="192"/>
    </row>
    <row r="459" ht="14.25" customHeight="1">
      <c r="A459" s="158"/>
      <c r="E459" s="192"/>
      <c r="F459" s="192"/>
      <c r="G459" s="192"/>
      <c r="H459" s="192"/>
      <c r="I459" s="192"/>
      <c r="J459" s="192"/>
    </row>
    <row r="460" ht="14.25" customHeight="1">
      <c r="A460" s="158"/>
      <c r="E460" s="192"/>
      <c r="F460" s="192"/>
      <c r="G460" s="192"/>
      <c r="H460" s="192"/>
      <c r="I460" s="192"/>
      <c r="J460" s="192"/>
    </row>
    <row r="461" ht="14.25" customHeight="1">
      <c r="A461" s="158"/>
      <c r="E461" s="192"/>
      <c r="F461" s="192"/>
      <c r="G461" s="192"/>
      <c r="H461" s="192"/>
      <c r="I461" s="192"/>
      <c r="J461" s="192"/>
    </row>
    <row r="462" ht="14.25" customHeight="1">
      <c r="A462" s="158"/>
      <c r="E462" s="192"/>
      <c r="F462" s="192"/>
      <c r="G462" s="192"/>
      <c r="H462" s="192"/>
      <c r="I462" s="192"/>
      <c r="J462" s="192"/>
    </row>
    <row r="463" ht="14.25" customHeight="1">
      <c r="A463" s="158"/>
      <c r="E463" s="192"/>
      <c r="F463" s="192"/>
      <c r="G463" s="192"/>
      <c r="H463" s="192"/>
      <c r="I463" s="192"/>
      <c r="J463" s="192"/>
    </row>
    <row r="464" ht="14.25" customHeight="1">
      <c r="A464" s="158"/>
      <c r="E464" s="192"/>
      <c r="F464" s="192"/>
      <c r="G464" s="192"/>
      <c r="H464" s="192"/>
      <c r="I464" s="192"/>
      <c r="J464" s="192"/>
    </row>
    <row r="465" ht="14.25" customHeight="1">
      <c r="A465" s="158"/>
      <c r="E465" s="192"/>
      <c r="F465" s="192"/>
      <c r="G465" s="192"/>
      <c r="H465" s="192"/>
      <c r="I465" s="192"/>
      <c r="J465" s="192"/>
    </row>
    <row r="466" ht="14.25" customHeight="1">
      <c r="A466" s="158"/>
      <c r="E466" s="192"/>
      <c r="F466" s="192"/>
      <c r="G466" s="192"/>
      <c r="H466" s="192"/>
      <c r="I466" s="192"/>
      <c r="J466" s="192"/>
    </row>
    <row r="467" ht="14.25" customHeight="1">
      <c r="A467" s="158"/>
      <c r="E467" s="192"/>
      <c r="F467" s="192"/>
      <c r="G467" s="192"/>
      <c r="H467" s="192"/>
      <c r="I467" s="192"/>
      <c r="J467" s="192"/>
    </row>
    <row r="468" ht="14.25" customHeight="1">
      <c r="A468" s="158"/>
      <c r="E468" s="192"/>
      <c r="F468" s="192"/>
      <c r="G468" s="192"/>
      <c r="H468" s="192"/>
      <c r="I468" s="192"/>
      <c r="J468" s="192"/>
    </row>
    <row r="469" ht="14.25" customHeight="1">
      <c r="A469" s="158"/>
      <c r="E469" s="192"/>
      <c r="F469" s="192"/>
      <c r="G469" s="192"/>
      <c r="H469" s="192"/>
      <c r="I469" s="192"/>
      <c r="J469" s="192"/>
    </row>
    <row r="470" ht="14.25" customHeight="1">
      <c r="A470" s="158"/>
      <c r="E470" s="192"/>
      <c r="F470" s="192"/>
      <c r="G470" s="192"/>
      <c r="H470" s="192"/>
      <c r="I470" s="192"/>
      <c r="J470" s="192"/>
    </row>
    <row r="471" ht="14.25" customHeight="1">
      <c r="A471" s="158"/>
      <c r="E471" s="192"/>
      <c r="F471" s="192"/>
      <c r="G471" s="192"/>
      <c r="H471" s="192"/>
      <c r="I471" s="192"/>
      <c r="J471" s="192"/>
    </row>
    <row r="472" ht="14.25" customHeight="1">
      <c r="A472" s="158"/>
      <c r="E472" s="192"/>
      <c r="F472" s="192"/>
      <c r="G472" s="192"/>
      <c r="H472" s="192"/>
      <c r="I472" s="192"/>
      <c r="J472" s="192"/>
    </row>
    <row r="473" ht="14.25" customHeight="1">
      <c r="A473" s="158"/>
      <c r="E473" s="192"/>
      <c r="F473" s="192"/>
      <c r="G473" s="192"/>
      <c r="H473" s="192"/>
      <c r="I473" s="192"/>
      <c r="J473" s="192"/>
    </row>
    <row r="474" ht="14.25" customHeight="1">
      <c r="A474" s="158"/>
      <c r="E474" s="192"/>
      <c r="F474" s="192"/>
      <c r="G474" s="192"/>
      <c r="H474" s="192"/>
      <c r="I474" s="192"/>
      <c r="J474" s="192"/>
    </row>
    <row r="475" ht="14.25" customHeight="1">
      <c r="A475" s="158"/>
      <c r="E475" s="192"/>
      <c r="F475" s="192"/>
      <c r="G475" s="192"/>
      <c r="H475" s="192"/>
      <c r="I475" s="192"/>
      <c r="J475" s="192"/>
    </row>
    <row r="476" ht="14.25" customHeight="1">
      <c r="A476" s="158"/>
      <c r="E476" s="192"/>
      <c r="F476" s="192"/>
      <c r="G476" s="192"/>
      <c r="H476" s="192"/>
      <c r="I476" s="192"/>
      <c r="J476" s="192"/>
    </row>
    <row r="477" ht="14.25" customHeight="1">
      <c r="A477" s="158"/>
      <c r="E477" s="192"/>
      <c r="F477" s="192"/>
      <c r="G477" s="192"/>
      <c r="H477" s="192"/>
      <c r="I477" s="192"/>
      <c r="J477" s="192"/>
    </row>
    <row r="478" ht="14.25" customHeight="1">
      <c r="A478" s="158"/>
      <c r="E478" s="192"/>
      <c r="F478" s="192"/>
      <c r="G478" s="192"/>
      <c r="H478" s="192"/>
      <c r="I478" s="192"/>
      <c r="J478" s="192"/>
    </row>
    <row r="479" ht="14.25" customHeight="1">
      <c r="A479" s="158"/>
      <c r="E479" s="192"/>
      <c r="F479" s="192"/>
      <c r="G479" s="192"/>
      <c r="H479" s="192"/>
      <c r="I479" s="192"/>
      <c r="J479" s="192"/>
    </row>
    <row r="480" ht="14.25" customHeight="1">
      <c r="A480" s="158"/>
      <c r="E480" s="192"/>
      <c r="F480" s="192"/>
      <c r="G480" s="192"/>
      <c r="H480" s="192"/>
      <c r="I480" s="192"/>
      <c r="J480" s="192"/>
    </row>
    <row r="481" ht="14.25" customHeight="1">
      <c r="A481" s="158"/>
      <c r="E481" s="192"/>
      <c r="F481" s="192"/>
      <c r="G481" s="192"/>
      <c r="H481" s="192"/>
      <c r="I481" s="192"/>
      <c r="J481" s="192"/>
    </row>
    <row r="482" ht="14.25" customHeight="1">
      <c r="A482" s="158"/>
      <c r="E482" s="192"/>
      <c r="F482" s="192"/>
      <c r="G482" s="192"/>
      <c r="H482" s="192"/>
      <c r="I482" s="192"/>
      <c r="J482" s="192"/>
    </row>
    <row r="483" ht="14.25" customHeight="1">
      <c r="A483" s="158"/>
      <c r="E483" s="192"/>
      <c r="F483" s="192"/>
      <c r="G483" s="192"/>
      <c r="H483" s="192"/>
      <c r="I483" s="192"/>
      <c r="J483" s="192"/>
    </row>
    <row r="484" ht="14.25" customHeight="1">
      <c r="A484" s="158"/>
      <c r="E484" s="192"/>
      <c r="F484" s="192"/>
      <c r="G484" s="192"/>
      <c r="H484" s="192"/>
      <c r="I484" s="192"/>
      <c r="J484" s="192"/>
    </row>
    <row r="485" ht="14.25" customHeight="1">
      <c r="A485" s="158"/>
      <c r="E485" s="192"/>
      <c r="F485" s="192"/>
      <c r="G485" s="192"/>
      <c r="H485" s="192"/>
      <c r="I485" s="192"/>
      <c r="J485" s="192"/>
    </row>
    <row r="486" ht="14.25" customHeight="1">
      <c r="A486" s="158"/>
      <c r="E486" s="192"/>
      <c r="F486" s="192"/>
      <c r="G486" s="192"/>
      <c r="H486" s="192"/>
      <c r="I486" s="192"/>
      <c r="J486" s="192"/>
    </row>
    <row r="487" ht="14.25" customHeight="1">
      <c r="A487" s="158"/>
      <c r="E487" s="192"/>
      <c r="F487" s="192"/>
      <c r="G487" s="192"/>
      <c r="H487" s="192"/>
      <c r="I487" s="192"/>
      <c r="J487" s="192"/>
    </row>
    <row r="488" ht="14.25" customHeight="1">
      <c r="A488" s="158"/>
      <c r="E488" s="192"/>
      <c r="F488" s="192"/>
      <c r="G488" s="192"/>
      <c r="H488" s="192"/>
      <c r="I488" s="192"/>
      <c r="J488" s="192"/>
    </row>
    <row r="489" ht="14.25" customHeight="1">
      <c r="A489" s="158"/>
      <c r="E489" s="192"/>
      <c r="F489" s="192"/>
      <c r="G489" s="192"/>
      <c r="H489" s="192"/>
      <c r="I489" s="192"/>
      <c r="J489" s="192"/>
    </row>
    <row r="490" ht="14.25" customHeight="1">
      <c r="A490" s="158"/>
      <c r="E490" s="192"/>
      <c r="F490" s="192"/>
      <c r="G490" s="192"/>
      <c r="H490" s="192"/>
      <c r="I490" s="192"/>
      <c r="J490" s="192"/>
    </row>
    <row r="491" ht="14.25" customHeight="1">
      <c r="A491" s="158"/>
      <c r="E491" s="192"/>
      <c r="F491" s="192"/>
      <c r="G491" s="192"/>
      <c r="H491" s="192"/>
      <c r="I491" s="192"/>
      <c r="J491" s="192"/>
    </row>
    <row r="492" ht="14.25" customHeight="1">
      <c r="A492" s="158"/>
      <c r="E492" s="192"/>
      <c r="F492" s="192"/>
      <c r="G492" s="192"/>
      <c r="H492" s="192"/>
      <c r="I492" s="192"/>
      <c r="J492" s="192"/>
    </row>
    <row r="493" ht="14.25" customHeight="1">
      <c r="A493" s="158"/>
      <c r="E493" s="192"/>
      <c r="F493" s="192"/>
      <c r="G493" s="192"/>
      <c r="H493" s="192"/>
      <c r="I493" s="192"/>
      <c r="J493" s="192"/>
    </row>
    <row r="494" ht="14.25" customHeight="1">
      <c r="A494" s="158"/>
      <c r="E494" s="192"/>
      <c r="F494" s="192"/>
      <c r="G494" s="192"/>
      <c r="H494" s="192"/>
      <c r="I494" s="192"/>
      <c r="J494" s="192"/>
    </row>
    <row r="495" ht="14.25" customHeight="1">
      <c r="A495" s="158"/>
      <c r="E495" s="192"/>
      <c r="F495" s="192"/>
      <c r="G495" s="192"/>
      <c r="H495" s="192"/>
      <c r="I495" s="192"/>
      <c r="J495" s="192"/>
    </row>
    <row r="496" ht="14.25" customHeight="1">
      <c r="A496" s="158"/>
      <c r="E496" s="192"/>
      <c r="F496" s="192"/>
      <c r="G496" s="192"/>
      <c r="H496" s="192"/>
      <c r="I496" s="192"/>
      <c r="J496" s="192"/>
    </row>
    <row r="497" ht="14.25" customHeight="1">
      <c r="A497" s="158"/>
      <c r="E497" s="192"/>
      <c r="F497" s="192"/>
      <c r="G497" s="192"/>
      <c r="H497" s="192"/>
      <c r="I497" s="192"/>
      <c r="J497" s="192"/>
    </row>
    <row r="498" ht="14.25" customHeight="1">
      <c r="A498" s="158"/>
      <c r="E498" s="192"/>
      <c r="F498" s="192"/>
      <c r="G498" s="192"/>
      <c r="H498" s="192"/>
      <c r="I498" s="192"/>
      <c r="J498" s="192"/>
    </row>
    <row r="499" ht="14.25" customHeight="1">
      <c r="A499" s="158"/>
      <c r="E499" s="192"/>
      <c r="F499" s="192"/>
      <c r="G499" s="192"/>
      <c r="H499" s="192"/>
      <c r="I499" s="192"/>
      <c r="J499" s="192"/>
    </row>
    <row r="500" ht="14.25" customHeight="1">
      <c r="A500" s="158"/>
      <c r="E500" s="192"/>
      <c r="F500" s="192"/>
      <c r="G500" s="192"/>
      <c r="H500" s="192"/>
      <c r="I500" s="192"/>
      <c r="J500" s="192"/>
    </row>
    <row r="501" ht="14.25" customHeight="1">
      <c r="A501" s="158"/>
      <c r="E501" s="192"/>
      <c r="F501" s="192"/>
      <c r="G501" s="192"/>
      <c r="H501" s="192"/>
      <c r="I501" s="192"/>
      <c r="J501" s="192"/>
    </row>
    <row r="502" ht="14.25" customHeight="1">
      <c r="A502" s="158"/>
      <c r="E502" s="192"/>
      <c r="F502" s="192"/>
      <c r="G502" s="192"/>
      <c r="H502" s="192"/>
      <c r="I502" s="192"/>
      <c r="J502" s="192"/>
    </row>
    <row r="503" ht="14.25" customHeight="1">
      <c r="A503" s="158"/>
      <c r="E503" s="192"/>
      <c r="F503" s="192"/>
      <c r="G503" s="192"/>
      <c r="H503" s="192"/>
      <c r="I503" s="192"/>
      <c r="J503" s="192"/>
    </row>
    <row r="504" ht="14.25" customHeight="1">
      <c r="A504" s="158"/>
      <c r="E504" s="192"/>
      <c r="F504" s="192"/>
      <c r="G504" s="192"/>
      <c r="H504" s="192"/>
      <c r="I504" s="192"/>
      <c r="J504" s="192"/>
    </row>
    <row r="505" ht="14.25" customHeight="1">
      <c r="A505" s="158"/>
      <c r="E505" s="192"/>
      <c r="F505" s="192"/>
      <c r="G505" s="192"/>
      <c r="H505" s="192"/>
      <c r="I505" s="192"/>
      <c r="J505" s="192"/>
    </row>
    <row r="506" ht="14.25" customHeight="1">
      <c r="A506" s="158"/>
      <c r="E506" s="192"/>
      <c r="F506" s="192"/>
      <c r="G506" s="192"/>
      <c r="H506" s="192"/>
      <c r="I506" s="192"/>
      <c r="J506" s="192"/>
    </row>
    <row r="507" ht="14.25" customHeight="1">
      <c r="A507" s="158"/>
      <c r="E507" s="192"/>
      <c r="F507" s="192"/>
      <c r="G507" s="192"/>
      <c r="H507" s="192"/>
      <c r="I507" s="192"/>
      <c r="J507" s="192"/>
    </row>
    <row r="508" ht="14.25" customHeight="1">
      <c r="A508" s="158"/>
      <c r="E508" s="192"/>
      <c r="F508" s="192"/>
      <c r="G508" s="192"/>
      <c r="H508" s="192"/>
      <c r="I508" s="192"/>
      <c r="J508" s="192"/>
    </row>
    <row r="509" ht="14.25" customHeight="1">
      <c r="A509" s="158"/>
      <c r="E509" s="192"/>
      <c r="F509" s="192"/>
      <c r="G509" s="192"/>
      <c r="H509" s="192"/>
      <c r="I509" s="192"/>
      <c r="J509" s="192"/>
    </row>
    <row r="510" ht="14.25" customHeight="1">
      <c r="A510" s="158"/>
      <c r="E510" s="192"/>
      <c r="F510" s="192"/>
      <c r="G510" s="192"/>
      <c r="H510" s="192"/>
      <c r="I510" s="192"/>
      <c r="J510" s="192"/>
    </row>
    <row r="511" ht="14.25" customHeight="1">
      <c r="A511" s="158"/>
      <c r="E511" s="192"/>
      <c r="F511" s="192"/>
      <c r="G511" s="192"/>
      <c r="H511" s="192"/>
      <c r="I511" s="192"/>
      <c r="J511" s="192"/>
    </row>
    <row r="512" ht="14.25" customHeight="1">
      <c r="A512" s="158"/>
      <c r="E512" s="192"/>
      <c r="F512" s="192"/>
      <c r="G512" s="192"/>
      <c r="H512" s="192"/>
      <c r="I512" s="192"/>
      <c r="J512" s="192"/>
    </row>
    <row r="513" ht="14.25" customHeight="1">
      <c r="A513" s="158"/>
      <c r="E513" s="192"/>
      <c r="F513" s="192"/>
      <c r="G513" s="192"/>
      <c r="H513" s="192"/>
      <c r="I513" s="192"/>
      <c r="J513" s="192"/>
    </row>
    <row r="514" ht="14.25" customHeight="1">
      <c r="A514" s="158"/>
      <c r="E514" s="192"/>
      <c r="F514" s="192"/>
      <c r="G514" s="192"/>
      <c r="H514" s="192"/>
      <c r="I514" s="192"/>
      <c r="J514" s="192"/>
    </row>
    <row r="515" ht="14.25" customHeight="1">
      <c r="A515" s="158"/>
      <c r="E515" s="192"/>
      <c r="F515" s="192"/>
      <c r="G515" s="192"/>
      <c r="H515" s="192"/>
      <c r="I515" s="192"/>
      <c r="J515" s="192"/>
    </row>
    <row r="516" ht="14.25" customHeight="1">
      <c r="A516" s="158"/>
      <c r="E516" s="192"/>
      <c r="F516" s="192"/>
      <c r="G516" s="192"/>
      <c r="H516" s="192"/>
      <c r="I516" s="192"/>
      <c r="J516" s="192"/>
    </row>
    <row r="517" ht="14.25" customHeight="1">
      <c r="A517" s="158"/>
      <c r="E517" s="192"/>
      <c r="F517" s="192"/>
      <c r="G517" s="192"/>
      <c r="H517" s="192"/>
      <c r="I517" s="192"/>
      <c r="J517" s="192"/>
    </row>
    <row r="518" ht="14.25" customHeight="1">
      <c r="A518" s="158"/>
      <c r="E518" s="192"/>
      <c r="F518" s="192"/>
      <c r="G518" s="192"/>
      <c r="H518" s="192"/>
      <c r="I518" s="192"/>
      <c r="J518" s="192"/>
    </row>
    <row r="519" ht="14.25" customHeight="1">
      <c r="A519" s="158"/>
      <c r="E519" s="192"/>
      <c r="F519" s="192"/>
      <c r="G519" s="192"/>
      <c r="H519" s="192"/>
      <c r="I519" s="192"/>
      <c r="J519" s="192"/>
    </row>
    <row r="520" ht="14.25" customHeight="1">
      <c r="A520" s="158"/>
      <c r="E520" s="192"/>
      <c r="F520" s="192"/>
      <c r="G520" s="192"/>
      <c r="H520" s="192"/>
      <c r="I520" s="192"/>
      <c r="J520" s="192"/>
    </row>
    <row r="521" ht="14.25" customHeight="1">
      <c r="A521" s="158"/>
      <c r="E521" s="192"/>
      <c r="F521" s="192"/>
      <c r="G521" s="192"/>
      <c r="H521" s="192"/>
      <c r="I521" s="192"/>
      <c r="J521" s="192"/>
    </row>
    <row r="522" ht="14.25" customHeight="1">
      <c r="A522" s="158"/>
      <c r="E522" s="192"/>
      <c r="F522" s="192"/>
      <c r="G522" s="192"/>
      <c r="H522" s="192"/>
      <c r="I522" s="192"/>
      <c r="J522" s="192"/>
    </row>
    <row r="523" ht="14.25" customHeight="1">
      <c r="A523" s="158"/>
      <c r="E523" s="192"/>
      <c r="F523" s="192"/>
      <c r="G523" s="192"/>
      <c r="H523" s="192"/>
      <c r="I523" s="192"/>
      <c r="J523" s="192"/>
    </row>
    <row r="524" ht="14.25" customHeight="1">
      <c r="A524" s="158"/>
      <c r="E524" s="192"/>
      <c r="F524" s="192"/>
      <c r="G524" s="192"/>
      <c r="H524" s="192"/>
      <c r="I524" s="192"/>
      <c r="J524" s="192"/>
    </row>
    <row r="525" ht="14.25" customHeight="1">
      <c r="A525" s="158"/>
      <c r="E525" s="192"/>
      <c r="F525" s="192"/>
      <c r="G525" s="192"/>
      <c r="H525" s="192"/>
      <c r="I525" s="192"/>
      <c r="J525" s="192"/>
    </row>
    <row r="526" ht="14.25" customHeight="1">
      <c r="A526" s="158"/>
      <c r="E526" s="192"/>
      <c r="F526" s="192"/>
      <c r="G526" s="192"/>
      <c r="H526" s="192"/>
      <c r="I526" s="192"/>
      <c r="J526" s="192"/>
    </row>
    <row r="527" ht="14.25" customHeight="1">
      <c r="A527" s="158"/>
      <c r="E527" s="192"/>
      <c r="F527" s="192"/>
      <c r="G527" s="192"/>
      <c r="H527" s="192"/>
      <c r="I527" s="192"/>
      <c r="J527" s="192"/>
    </row>
    <row r="528" ht="14.25" customHeight="1">
      <c r="A528" s="158"/>
      <c r="E528" s="192"/>
      <c r="F528" s="192"/>
      <c r="G528" s="192"/>
      <c r="H528" s="192"/>
      <c r="I528" s="192"/>
      <c r="J528" s="192"/>
    </row>
    <row r="529" ht="14.25" customHeight="1">
      <c r="A529" s="158"/>
      <c r="E529" s="192"/>
      <c r="F529" s="192"/>
      <c r="G529" s="192"/>
      <c r="H529" s="192"/>
      <c r="I529" s="192"/>
      <c r="J529" s="192"/>
    </row>
    <row r="530" ht="14.25" customHeight="1">
      <c r="A530" s="158"/>
      <c r="E530" s="192"/>
      <c r="F530" s="192"/>
      <c r="G530" s="192"/>
      <c r="H530" s="192"/>
      <c r="I530" s="192"/>
      <c r="J530" s="192"/>
    </row>
    <row r="531" ht="14.25" customHeight="1">
      <c r="A531" s="158"/>
      <c r="E531" s="192"/>
      <c r="F531" s="192"/>
      <c r="G531" s="192"/>
      <c r="H531" s="192"/>
      <c r="I531" s="192"/>
      <c r="J531" s="192"/>
    </row>
    <row r="532" ht="14.25" customHeight="1">
      <c r="A532" s="158"/>
      <c r="E532" s="192"/>
      <c r="F532" s="192"/>
      <c r="G532" s="192"/>
      <c r="H532" s="192"/>
      <c r="I532" s="192"/>
      <c r="J532" s="192"/>
    </row>
    <row r="533" ht="14.25" customHeight="1">
      <c r="A533" s="158"/>
      <c r="E533" s="192"/>
      <c r="F533" s="192"/>
      <c r="G533" s="192"/>
      <c r="H533" s="192"/>
      <c r="I533" s="192"/>
      <c r="J533" s="192"/>
    </row>
    <row r="534" ht="14.25" customHeight="1">
      <c r="A534" s="158"/>
      <c r="E534" s="192"/>
      <c r="F534" s="192"/>
      <c r="G534" s="192"/>
      <c r="H534" s="192"/>
      <c r="I534" s="192"/>
      <c r="J534" s="192"/>
    </row>
    <row r="535" ht="14.25" customHeight="1">
      <c r="A535" s="158"/>
      <c r="E535" s="192"/>
      <c r="F535" s="192"/>
      <c r="G535" s="192"/>
      <c r="H535" s="192"/>
      <c r="I535" s="192"/>
      <c r="J535" s="192"/>
    </row>
    <row r="536" ht="14.25" customHeight="1">
      <c r="A536" s="158"/>
      <c r="E536" s="192"/>
      <c r="F536" s="192"/>
      <c r="G536" s="192"/>
      <c r="H536" s="192"/>
      <c r="I536" s="192"/>
      <c r="J536" s="192"/>
    </row>
    <row r="537" ht="14.25" customHeight="1">
      <c r="A537" s="158"/>
      <c r="E537" s="192"/>
      <c r="F537" s="192"/>
      <c r="G537" s="192"/>
      <c r="H537" s="192"/>
      <c r="I537" s="192"/>
      <c r="J537" s="192"/>
    </row>
    <row r="538" ht="14.25" customHeight="1">
      <c r="A538" s="158"/>
      <c r="E538" s="192"/>
      <c r="F538" s="192"/>
      <c r="G538" s="192"/>
      <c r="H538" s="192"/>
      <c r="I538" s="192"/>
      <c r="J538" s="192"/>
    </row>
    <row r="539" ht="14.25" customHeight="1">
      <c r="A539" s="158"/>
      <c r="E539" s="192"/>
      <c r="F539" s="192"/>
      <c r="G539" s="192"/>
      <c r="H539" s="192"/>
      <c r="I539" s="192"/>
      <c r="J539" s="192"/>
    </row>
    <row r="540" ht="14.25" customHeight="1">
      <c r="A540" s="158"/>
      <c r="E540" s="192"/>
      <c r="F540" s="192"/>
      <c r="G540" s="192"/>
      <c r="H540" s="192"/>
      <c r="I540" s="192"/>
      <c r="J540" s="192"/>
    </row>
    <row r="541" ht="14.25" customHeight="1">
      <c r="A541" s="158"/>
      <c r="E541" s="192"/>
      <c r="F541" s="192"/>
      <c r="G541" s="192"/>
      <c r="H541" s="192"/>
      <c r="I541" s="192"/>
      <c r="J541" s="192"/>
    </row>
    <row r="542" ht="14.25" customHeight="1">
      <c r="A542" s="158"/>
      <c r="E542" s="192"/>
      <c r="F542" s="192"/>
      <c r="G542" s="192"/>
      <c r="H542" s="192"/>
      <c r="I542" s="192"/>
      <c r="J542" s="192"/>
    </row>
    <row r="543" ht="14.25" customHeight="1">
      <c r="A543" s="158"/>
      <c r="E543" s="192"/>
      <c r="F543" s="192"/>
      <c r="G543" s="192"/>
      <c r="H543" s="192"/>
      <c r="I543" s="192"/>
      <c r="J543" s="192"/>
    </row>
    <row r="544" ht="14.25" customHeight="1">
      <c r="A544" s="158"/>
      <c r="E544" s="192"/>
      <c r="F544" s="192"/>
      <c r="G544" s="192"/>
      <c r="H544" s="192"/>
      <c r="I544" s="192"/>
      <c r="J544" s="192"/>
    </row>
    <row r="545" ht="14.25" customHeight="1">
      <c r="A545" s="158"/>
      <c r="E545" s="192"/>
      <c r="F545" s="192"/>
      <c r="G545" s="192"/>
      <c r="H545" s="192"/>
      <c r="I545" s="192"/>
      <c r="J545" s="192"/>
    </row>
    <row r="546" ht="14.25" customHeight="1">
      <c r="A546" s="158"/>
      <c r="E546" s="192"/>
      <c r="F546" s="192"/>
      <c r="G546" s="192"/>
      <c r="H546" s="192"/>
      <c r="I546" s="192"/>
      <c r="J546" s="192"/>
    </row>
    <row r="547" ht="14.25" customHeight="1">
      <c r="A547" s="158"/>
      <c r="E547" s="192"/>
      <c r="F547" s="192"/>
      <c r="G547" s="192"/>
      <c r="H547" s="192"/>
      <c r="I547" s="192"/>
      <c r="J547" s="192"/>
    </row>
    <row r="548" ht="14.25" customHeight="1">
      <c r="A548" s="158"/>
      <c r="E548" s="192"/>
      <c r="F548" s="192"/>
      <c r="G548" s="192"/>
      <c r="H548" s="192"/>
      <c r="I548" s="192"/>
      <c r="J548" s="192"/>
    </row>
    <row r="549" ht="14.25" customHeight="1">
      <c r="A549" s="158"/>
      <c r="E549" s="192"/>
      <c r="F549" s="192"/>
      <c r="G549" s="192"/>
      <c r="H549" s="192"/>
      <c r="I549" s="192"/>
      <c r="J549" s="192"/>
    </row>
    <row r="550" ht="14.25" customHeight="1">
      <c r="A550" s="158"/>
      <c r="E550" s="192"/>
      <c r="F550" s="192"/>
      <c r="G550" s="192"/>
      <c r="H550" s="192"/>
      <c r="I550" s="192"/>
      <c r="J550" s="192"/>
    </row>
    <row r="551" ht="14.25" customHeight="1">
      <c r="A551" s="158"/>
      <c r="E551" s="192"/>
      <c r="F551" s="192"/>
      <c r="G551" s="192"/>
      <c r="H551" s="192"/>
      <c r="I551" s="192"/>
      <c r="J551" s="192"/>
    </row>
    <row r="552" ht="14.25" customHeight="1">
      <c r="A552" s="158"/>
      <c r="E552" s="192"/>
      <c r="F552" s="192"/>
      <c r="G552" s="192"/>
      <c r="H552" s="192"/>
      <c r="I552" s="192"/>
      <c r="J552" s="192"/>
    </row>
    <row r="553" ht="14.25" customHeight="1">
      <c r="A553" s="158"/>
      <c r="E553" s="192"/>
      <c r="F553" s="192"/>
      <c r="G553" s="192"/>
      <c r="H553" s="192"/>
      <c r="I553" s="192"/>
      <c r="J553" s="192"/>
    </row>
    <row r="554" ht="14.25" customHeight="1">
      <c r="A554" s="158"/>
      <c r="E554" s="192"/>
      <c r="F554" s="192"/>
      <c r="G554" s="192"/>
      <c r="H554" s="192"/>
      <c r="I554" s="192"/>
      <c r="J554" s="192"/>
    </row>
    <row r="555" ht="14.25" customHeight="1">
      <c r="A555" s="158"/>
      <c r="E555" s="192"/>
      <c r="F555" s="192"/>
      <c r="G555" s="192"/>
      <c r="H555" s="192"/>
      <c r="I555" s="192"/>
      <c r="J555" s="192"/>
    </row>
    <row r="556" ht="14.25" customHeight="1">
      <c r="A556" s="158"/>
      <c r="E556" s="192"/>
      <c r="F556" s="192"/>
      <c r="G556" s="192"/>
      <c r="H556" s="192"/>
      <c r="I556" s="192"/>
      <c r="J556" s="192"/>
    </row>
    <row r="557" ht="14.25" customHeight="1">
      <c r="A557" s="158"/>
      <c r="E557" s="192"/>
      <c r="F557" s="192"/>
      <c r="G557" s="192"/>
      <c r="H557" s="192"/>
      <c r="I557" s="192"/>
      <c r="J557" s="192"/>
    </row>
    <row r="558" ht="14.25" customHeight="1">
      <c r="A558" s="158"/>
      <c r="E558" s="192"/>
      <c r="F558" s="192"/>
      <c r="G558" s="192"/>
      <c r="H558" s="192"/>
      <c r="I558" s="192"/>
      <c r="J558" s="192"/>
    </row>
    <row r="559" ht="14.25" customHeight="1">
      <c r="A559" s="158"/>
      <c r="E559" s="192"/>
      <c r="F559" s="192"/>
      <c r="G559" s="192"/>
      <c r="H559" s="192"/>
      <c r="I559" s="192"/>
      <c r="J559" s="192"/>
    </row>
    <row r="560" ht="14.25" customHeight="1">
      <c r="A560" s="158"/>
      <c r="E560" s="192"/>
      <c r="F560" s="192"/>
      <c r="G560" s="192"/>
      <c r="H560" s="192"/>
      <c r="I560" s="192"/>
      <c r="J560" s="192"/>
    </row>
    <row r="561" ht="14.25" customHeight="1">
      <c r="A561" s="158"/>
      <c r="E561" s="192"/>
      <c r="F561" s="192"/>
      <c r="G561" s="192"/>
      <c r="H561" s="192"/>
      <c r="I561" s="192"/>
      <c r="J561" s="192"/>
    </row>
    <row r="562" ht="14.25" customHeight="1">
      <c r="A562" s="158"/>
      <c r="E562" s="192"/>
      <c r="F562" s="192"/>
      <c r="G562" s="192"/>
      <c r="H562" s="192"/>
      <c r="I562" s="192"/>
      <c r="J562" s="192"/>
    </row>
    <row r="563" ht="14.25" customHeight="1">
      <c r="A563" s="158"/>
      <c r="E563" s="192"/>
      <c r="F563" s="192"/>
      <c r="G563" s="192"/>
      <c r="H563" s="192"/>
      <c r="I563" s="192"/>
      <c r="J563" s="192"/>
    </row>
    <row r="564" ht="14.25" customHeight="1">
      <c r="A564" s="158"/>
      <c r="E564" s="192"/>
      <c r="F564" s="192"/>
      <c r="G564" s="192"/>
      <c r="H564" s="192"/>
      <c r="I564" s="192"/>
      <c r="J564" s="192"/>
    </row>
    <row r="565" ht="14.25" customHeight="1">
      <c r="A565" s="158"/>
      <c r="E565" s="192"/>
      <c r="F565" s="192"/>
      <c r="G565" s="192"/>
      <c r="H565" s="192"/>
      <c r="I565" s="192"/>
      <c r="J565" s="192"/>
    </row>
    <row r="566" ht="14.25" customHeight="1">
      <c r="A566" s="158"/>
      <c r="E566" s="192"/>
      <c r="F566" s="192"/>
      <c r="G566" s="192"/>
      <c r="H566" s="192"/>
      <c r="I566" s="192"/>
      <c r="J566" s="192"/>
    </row>
    <row r="567" ht="14.25" customHeight="1">
      <c r="A567" s="158"/>
      <c r="E567" s="192"/>
      <c r="F567" s="192"/>
      <c r="G567" s="192"/>
      <c r="H567" s="192"/>
      <c r="I567" s="192"/>
      <c r="J567" s="192"/>
    </row>
    <row r="568" ht="14.25" customHeight="1">
      <c r="A568" s="158"/>
      <c r="E568" s="192"/>
      <c r="F568" s="192"/>
      <c r="G568" s="192"/>
      <c r="H568" s="192"/>
      <c r="I568" s="192"/>
      <c r="J568" s="192"/>
    </row>
    <row r="569" ht="14.25" customHeight="1">
      <c r="A569" s="158"/>
      <c r="E569" s="192"/>
      <c r="F569" s="192"/>
      <c r="G569" s="192"/>
      <c r="H569" s="192"/>
      <c r="I569" s="192"/>
      <c r="J569" s="192"/>
    </row>
    <row r="570" ht="14.25" customHeight="1">
      <c r="A570" s="158"/>
      <c r="E570" s="192"/>
      <c r="F570" s="192"/>
      <c r="G570" s="192"/>
      <c r="H570" s="192"/>
      <c r="I570" s="192"/>
      <c r="J570" s="192"/>
    </row>
    <row r="571" ht="14.25" customHeight="1">
      <c r="A571" s="158"/>
      <c r="E571" s="192"/>
      <c r="F571" s="192"/>
      <c r="G571" s="192"/>
      <c r="H571" s="192"/>
      <c r="I571" s="192"/>
      <c r="J571" s="192"/>
    </row>
    <row r="572" ht="14.25" customHeight="1">
      <c r="A572" s="158"/>
      <c r="E572" s="192"/>
      <c r="F572" s="192"/>
      <c r="G572" s="192"/>
      <c r="H572" s="192"/>
      <c r="I572" s="192"/>
      <c r="J572" s="192"/>
    </row>
    <row r="573" ht="14.25" customHeight="1">
      <c r="A573" s="158"/>
      <c r="E573" s="192"/>
      <c r="F573" s="192"/>
      <c r="G573" s="192"/>
      <c r="H573" s="192"/>
      <c r="I573" s="192"/>
      <c r="J573" s="192"/>
    </row>
    <row r="574" ht="14.25" customHeight="1">
      <c r="A574" s="158"/>
      <c r="E574" s="192"/>
      <c r="F574" s="192"/>
      <c r="G574" s="192"/>
      <c r="H574" s="192"/>
      <c r="I574" s="192"/>
      <c r="J574" s="192"/>
    </row>
    <row r="575" ht="14.25" customHeight="1">
      <c r="A575" s="158"/>
      <c r="E575" s="192"/>
      <c r="F575" s="192"/>
      <c r="G575" s="192"/>
      <c r="H575" s="192"/>
      <c r="I575" s="192"/>
      <c r="J575" s="192"/>
    </row>
    <row r="576" ht="14.25" customHeight="1">
      <c r="A576" s="158"/>
      <c r="E576" s="192"/>
      <c r="F576" s="192"/>
      <c r="G576" s="192"/>
      <c r="H576" s="192"/>
      <c r="I576" s="192"/>
      <c r="J576" s="192"/>
    </row>
    <row r="577" ht="14.25" customHeight="1">
      <c r="A577" s="158"/>
      <c r="E577" s="192"/>
      <c r="F577" s="192"/>
      <c r="G577" s="192"/>
      <c r="H577" s="192"/>
      <c r="I577" s="192"/>
      <c r="J577" s="192"/>
    </row>
    <row r="578" ht="14.25" customHeight="1">
      <c r="A578" s="158"/>
      <c r="E578" s="192"/>
      <c r="F578" s="192"/>
      <c r="G578" s="192"/>
      <c r="H578" s="192"/>
      <c r="I578" s="192"/>
      <c r="J578" s="192"/>
    </row>
    <row r="579" ht="14.25" customHeight="1">
      <c r="A579" s="158"/>
      <c r="E579" s="192"/>
      <c r="F579" s="192"/>
      <c r="G579" s="192"/>
      <c r="H579" s="192"/>
      <c r="I579" s="192"/>
      <c r="J579" s="192"/>
    </row>
    <row r="580" ht="14.25" customHeight="1">
      <c r="A580" s="158"/>
      <c r="E580" s="192"/>
      <c r="F580" s="192"/>
      <c r="G580" s="192"/>
      <c r="H580" s="192"/>
      <c r="I580" s="192"/>
      <c r="J580" s="192"/>
    </row>
    <row r="581" ht="14.25" customHeight="1">
      <c r="A581" s="158"/>
      <c r="E581" s="192"/>
      <c r="F581" s="192"/>
      <c r="G581" s="192"/>
      <c r="H581" s="192"/>
      <c r="I581" s="192"/>
      <c r="J581" s="192"/>
    </row>
    <row r="582" ht="14.25" customHeight="1">
      <c r="A582" s="158"/>
      <c r="E582" s="192"/>
      <c r="F582" s="192"/>
      <c r="G582" s="192"/>
      <c r="H582" s="192"/>
      <c r="I582" s="192"/>
      <c r="J582" s="192"/>
    </row>
    <row r="583" ht="14.25" customHeight="1">
      <c r="A583" s="158"/>
      <c r="E583" s="192"/>
      <c r="F583" s="192"/>
      <c r="G583" s="192"/>
      <c r="H583" s="192"/>
      <c r="I583" s="192"/>
      <c r="J583" s="192"/>
    </row>
    <row r="584" ht="14.25" customHeight="1">
      <c r="A584" s="158"/>
      <c r="E584" s="192"/>
      <c r="F584" s="192"/>
      <c r="G584" s="192"/>
      <c r="H584" s="192"/>
      <c r="I584" s="192"/>
      <c r="J584" s="192"/>
    </row>
    <row r="585" ht="14.25" customHeight="1">
      <c r="A585" s="158"/>
      <c r="E585" s="192"/>
      <c r="F585" s="192"/>
      <c r="G585" s="192"/>
      <c r="H585" s="192"/>
      <c r="I585" s="192"/>
      <c r="J585" s="192"/>
    </row>
    <row r="586" ht="14.25" customHeight="1">
      <c r="A586" s="158"/>
      <c r="E586" s="192"/>
      <c r="F586" s="192"/>
      <c r="G586" s="192"/>
      <c r="H586" s="192"/>
      <c r="I586" s="192"/>
      <c r="J586" s="192"/>
    </row>
    <row r="587" ht="14.25" customHeight="1">
      <c r="A587" s="158"/>
      <c r="E587" s="192"/>
      <c r="F587" s="192"/>
      <c r="G587" s="192"/>
      <c r="H587" s="192"/>
      <c r="I587" s="192"/>
      <c r="J587" s="192"/>
    </row>
    <row r="588" ht="14.25" customHeight="1">
      <c r="A588" s="158"/>
      <c r="E588" s="192"/>
      <c r="F588" s="192"/>
      <c r="G588" s="192"/>
      <c r="H588" s="192"/>
      <c r="I588" s="192"/>
      <c r="J588" s="192"/>
    </row>
    <row r="589" ht="14.25" customHeight="1">
      <c r="A589" s="158"/>
      <c r="E589" s="192"/>
      <c r="F589" s="192"/>
      <c r="G589" s="192"/>
      <c r="H589" s="192"/>
      <c r="I589" s="192"/>
      <c r="J589" s="192"/>
    </row>
    <row r="590" ht="14.25" customHeight="1">
      <c r="A590" s="158"/>
      <c r="E590" s="192"/>
      <c r="F590" s="192"/>
      <c r="G590" s="192"/>
      <c r="H590" s="192"/>
      <c r="I590" s="192"/>
      <c r="J590" s="192"/>
    </row>
    <row r="591" ht="14.25" customHeight="1">
      <c r="A591" s="158"/>
      <c r="E591" s="192"/>
      <c r="F591" s="192"/>
      <c r="G591" s="192"/>
      <c r="H591" s="192"/>
      <c r="I591" s="192"/>
      <c r="J591" s="192"/>
    </row>
    <row r="592" ht="14.25" customHeight="1">
      <c r="A592" s="158"/>
      <c r="E592" s="192"/>
      <c r="F592" s="192"/>
      <c r="G592" s="192"/>
      <c r="H592" s="192"/>
      <c r="I592" s="192"/>
      <c r="J592" s="192"/>
    </row>
    <row r="593" ht="14.25" customHeight="1">
      <c r="A593" s="158"/>
      <c r="E593" s="192"/>
      <c r="F593" s="192"/>
      <c r="G593" s="192"/>
      <c r="H593" s="192"/>
      <c r="I593" s="192"/>
      <c r="J593" s="192"/>
    </row>
    <row r="594" ht="14.25" customHeight="1">
      <c r="A594" s="158"/>
      <c r="E594" s="192"/>
      <c r="F594" s="192"/>
      <c r="G594" s="192"/>
      <c r="H594" s="192"/>
      <c r="I594" s="192"/>
      <c r="J594" s="192"/>
    </row>
    <row r="595" ht="14.25" customHeight="1">
      <c r="A595" s="158"/>
      <c r="E595" s="192"/>
      <c r="F595" s="192"/>
      <c r="G595" s="192"/>
      <c r="H595" s="192"/>
      <c r="I595" s="192"/>
      <c r="J595" s="192"/>
    </row>
    <row r="596" ht="14.25" customHeight="1">
      <c r="A596" s="158"/>
      <c r="E596" s="192"/>
      <c r="F596" s="192"/>
      <c r="G596" s="192"/>
      <c r="H596" s="192"/>
      <c r="I596" s="192"/>
      <c r="J596" s="192"/>
    </row>
    <row r="597" ht="14.25" customHeight="1">
      <c r="A597" s="158"/>
      <c r="E597" s="192"/>
      <c r="F597" s="192"/>
      <c r="G597" s="192"/>
      <c r="H597" s="192"/>
      <c r="I597" s="192"/>
      <c r="J597" s="192"/>
    </row>
    <row r="598" ht="14.25" customHeight="1">
      <c r="A598" s="158"/>
      <c r="E598" s="192"/>
      <c r="F598" s="192"/>
      <c r="G598" s="192"/>
      <c r="H598" s="192"/>
      <c r="I598" s="192"/>
      <c r="J598" s="192"/>
    </row>
    <row r="599" ht="14.25" customHeight="1">
      <c r="A599" s="158"/>
      <c r="E599" s="192"/>
      <c r="F599" s="192"/>
      <c r="G599" s="192"/>
      <c r="H599" s="192"/>
      <c r="I599" s="192"/>
      <c r="J599" s="192"/>
    </row>
    <row r="600" ht="14.25" customHeight="1">
      <c r="A600" s="158"/>
      <c r="E600" s="192"/>
      <c r="F600" s="192"/>
      <c r="G600" s="192"/>
      <c r="H600" s="192"/>
      <c r="I600" s="192"/>
      <c r="J600" s="192"/>
    </row>
    <row r="601" ht="14.25" customHeight="1">
      <c r="A601" s="158"/>
      <c r="E601" s="192"/>
      <c r="F601" s="192"/>
      <c r="G601" s="192"/>
      <c r="H601" s="192"/>
      <c r="I601" s="192"/>
      <c r="J601" s="192"/>
    </row>
    <row r="602" ht="14.25" customHeight="1">
      <c r="A602" s="158"/>
      <c r="E602" s="192"/>
      <c r="F602" s="192"/>
      <c r="G602" s="192"/>
      <c r="H602" s="192"/>
      <c r="I602" s="192"/>
      <c r="J602" s="192"/>
    </row>
    <row r="603" ht="14.25" customHeight="1">
      <c r="A603" s="158"/>
      <c r="E603" s="192"/>
      <c r="F603" s="192"/>
      <c r="G603" s="192"/>
      <c r="H603" s="192"/>
      <c r="I603" s="192"/>
      <c r="J603" s="192"/>
    </row>
    <row r="604" ht="14.25" customHeight="1">
      <c r="A604" s="158"/>
      <c r="E604" s="192"/>
      <c r="F604" s="192"/>
      <c r="G604" s="192"/>
      <c r="H604" s="192"/>
      <c r="I604" s="192"/>
      <c r="J604" s="192"/>
    </row>
    <row r="605" ht="14.25" customHeight="1">
      <c r="A605" s="158"/>
      <c r="E605" s="192"/>
      <c r="F605" s="192"/>
      <c r="G605" s="192"/>
      <c r="H605" s="192"/>
      <c r="I605" s="192"/>
      <c r="J605" s="192"/>
    </row>
    <row r="606" ht="14.25" customHeight="1">
      <c r="A606" s="158"/>
      <c r="E606" s="192"/>
      <c r="F606" s="192"/>
      <c r="G606" s="192"/>
      <c r="H606" s="192"/>
      <c r="I606" s="192"/>
      <c r="J606" s="192"/>
    </row>
    <row r="607" ht="14.25" customHeight="1">
      <c r="A607" s="158"/>
      <c r="E607" s="192"/>
      <c r="F607" s="192"/>
      <c r="G607" s="192"/>
      <c r="H607" s="192"/>
      <c r="I607" s="192"/>
      <c r="J607" s="192"/>
    </row>
    <row r="608" ht="14.25" customHeight="1">
      <c r="A608" s="158"/>
      <c r="E608" s="192"/>
      <c r="F608" s="192"/>
      <c r="G608" s="192"/>
      <c r="H608" s="192"/>
      <c r="I608" s="192"/>
      <c r="J608" s="192"/>
    </row>
    <row r="609" ht="14.25" customHeight="1">
      <c r="A609" s="158"/>
      <c r="E609" s="192"/>
      <c r="F609" s="192"/>
      <c r="G609" s="192"/>
      <c r="H609" s="192"/>
      <c r="I609" s="192"/>
      <c r="J609" s="192"/>
    </row>
    <row r="610" ht="14.25" customHeight="1">
      <c r="A610" s="158"/>
      <c r="E610" s="192"/>
      <c r="F610" s="192"/>
      <c r="G610" s="192"/>
      <c r="H610" s="192"/>
      <c r="I610" s="192"/>
      <c r="J610" s="192"/>
    </row>
    <row r="611" ht="14.25" customHeight="1">
      <c r="A611" s="158"/>
      <c r="E611" s="192"/>
      <c r="F611" s="192"/>
      <c r="G611" s="192"/>
      <c r="H611" s="192"/>
      <c r="I611" s="192"/>
      <c r="J611" s="192"/>
    </row>
    <row r="612" ht="14.25" customHeight="1">
      <c r="A612" s="158"/>
      <c r="E612" s="192"/>
      <c r="F612" s="192"/>
      <c r="G612" s="192"/>
      <c r="H612" s="192"/>
      <c r="I612" s="192"/>
      <c r="J612" s="192"/>
    </row>
    <row r="613" ht="14.25" customHeight="1">
      <c r="A613" s="158"/>
      <c r="E613" s="192"/>
      <c r="F613" s="192"/>
      <c r="G613" s="192"/>
      <c r="H613" s="192"/>
      <c r="I613" s="192"/>
      <c r="J613" s="192"/>
    </row>
    <row r="614" ht="14.25" customHeight="1">
      <c r="A614" s="158"/>
      <c r="E614" s="192"/>
      <c r="F614" s="192"/>
      <c r="G614" s="192"/>
      <c r="H614" s="192"/>
      <c r="I614" s="192"/>
      <c r="J614" s="192"/>
    </row>
    <row r="615" ht="14.25" customHeight="1">
      <c r="A615" s="158"/>
      <c r="E615" s="192"/>
      <c r="F615" s="192"/>
      <c r="G615" s="192"/>
      <c r="H615" s="192"/>
      <c r="I615" s="192"/>
      <c r="J615" s="192"/>
    </row>
    <row r="616" ht="14.25" customHeight="1">
      <c r="A616" s="158"/>
      <c r="E616" s="192"/>
      <c r="F616" s="192"/>
      <c r="G616" s="192"/>
      <c r="H616" s="192"/>
      <c r="I616" s="192"/>
      <c r="J616" s="192"/>
    </row>
    <row r="617" ht="14.25" customHeight="1">
      <c r="A617" s="158"/>
      <c r="E617" s="192"/>
      <c r="F617" s="192"/>
      <c r="G617" s="192"/>
      <c r="H617" s="192"/>
      <c r="I617" s="192"/>
      <c r="J617" s="192"/>
    </row>
    <row r="618" ht="14.25" customHeight="1">
      <c r="A618" s="158"/>
      <c r="E618" s="192"/>
      <c r="F618" s="192"/>
      <c r="G618" s="192"/>
      <c r="H618" s="192"/>
      <c r="I618" s="192"/>
      <c r="J618" s="192"/>
    </row>
    <row r="619" ht="14.25" customHeight="1">
      <c r="A619" s="158"/>
      <c r="E619" s="192"/>
      <c r="F619" s="192"/>
      <c r="G619" s="192"/>
      <c r="H619" s="192"/>
      <c r="I619" s="192"/>
      <c r="J619" s="192"/>
    </row>
    <row r="620" ht="14.25" customHeight="1">
      <c r="A620" s="158"/>
      <c r="E620" s="192"/>
      <c r="F620" s="192"/>
      <c r="G620" s="192"/>
      <c r="H620" s="192"/>
      <c r="I620" s="192"/>
      <c r="J620" s="192"/>
    </row>
    <row r="621" ht="14.25" customHeight="1">
      <c r="A621" s="158"/>
      <c r="E621" s="192"/>
      <c r="F621" s="192"/>
      <c r="G621" s="192"/>
      <c r="H621" s="192"/>
      <c r="I621" s="192"/>
      <c r="J621" s="192"/>
    </row>
    <row r="622" ht="14.25" customHeight="1">
      <c r="A622" s="158"/>
      <c r="E622" s="192"/>
      <c r="F622" s="192"/>
      <c r="G622" s="192"/>
      <c r="H622" s="192"/>
      <c r="I622" s="192"/>
      <c r="J622" s="192"/>
    </row>
    <row r="623" ht="14.25" customHeight="1">
      <c r="A623" s="158"/>
      <c r="E623" s="192"/>
      <c r="F623" s="192"/>
      <c r="G623" s="192"/>
      <c r="H623" s="192"/>
      <c r="I623" s="192"/>
      <c r="J623" s="192"/>
    </row>
    <row r="624" ht="14.25" customHeight="1">
      <c r="A624" s="158"/>
      <c r="E624" s="192"/>
      <c r="F624" s="192"/>
      <c r="G624" s="192"/>
      <c r="H624" s="192"/>
      <c r="I624" s="192"/>
      <c r="J624" s="192"/>
    </row>
    <row r="625" ht="14.25" customHeight="1">
      <c r="A625" s="158"/>
      <c r="E625" s="192"/>
      <c r="F625" s="192"/>
      <c r="G625" s="192"/>
      <c r="H625" s="192"/>
      <c r="I625" s="192"/>
      <c r="J625" s="192"/>
    </row>
    <row r="626" ht="14.25" customHeight="1">
      <c r="A626" s="158"/>
      <c r="E626" s="192"/>
      <c r="F626" s="192"/>
      <c r="G626" s="192"/>
      <c r="H626" s="192"/>
      <c r="I626" s="192"/>
      <c r="J626" s="192"/>
    </row>
    <row r="627" ht="14.25" customHeight="1">
      <c r="A627" s="158"/>
      <c r="E627" s="192"/>
      <c r="F627" s="192"/>
      <c r="G627" s="192"/>
      <c r="H627" s="192"/>
      <c r="I627" s="192"/>
      <c r="J627" s="192"/>
    </row>
    <row r="628" ht="14.25" customHeight="1">
      <c r="A628" s="158"/>
      <c r="E628" s="192"/>
      <c r="F628" s="192"/>
      <c r="G628" s="192"/>
      <c r="H628" s="192"/>
      <c r="I628" s="192"/>
      <c r="J628" s="192"/>
    </row>
    <row r="629" ht="14.25" customHeight="1">
      <c r="A629" s="158"/>
      <c r="E629" s="192"/>
      <c r="F629" s="192"/>
      <c r="G629" s="192"/>
      <c r="H629" s="192"/>
      <c r="I629" s="192"/>
      <c r="J629" s="192"/>
    </row>
    <row r="630" ht="14.25" customHeight="1">
      <c r="A630" s="158"/>
      <c r="E630" s="192"/>
      <c r="F630" s="192"/>
      <c r="G630" s="192"/>
      <c r="H630" s="192"/>
      <c r="I630" s="192"/>
      <c r="J630" s="192"/>
    </row>
    <row r="631" ht="14.25" customHeight="1">
      <c r="A631" s="158"/>
      <c r="E631" s="192"/>
      <c r="F631" s="192"/>
      <c r="G631" s="192"/>
      <c r="H631" s="192"/>
      <c r="I631" s="192"/>
      <c r="J631" s="192"/>
    </row>
    <row r="632" ht="14.25" customHeight="1">
      <c r="A632" s="158"/>
      <c r="E632" s="192"/>
      <c r="F632" s="192"/>
      <c r="G632" s="192"/>
      <c r="H632" s="192"/>
      <c r="I632" s="192"/>
      <c r="J632" s="192"/>
    </row>
    <row r="633" ht="14.25" customHeight="1">
      <c r="A633" s="158"/>
      <c r="E633" s="192"/>
      <c r="F633" s="192"/>
      <c r="G633" s="192"/>
      <c r="H633" s="192"/>
      <c r="I633" s="192"/>
      <c r="J633" s="192"/>
    </row>
    <row r="634" ht="14.25" customHeight="1">
      <c r="A634" s="158"/>
      <c r="E634" s="192"/>
      <c r="F634" s="192"/>
      <c r="G634" s="192"/>
      <c r="H634" s="192"/>
      <c r="I634" s="192"/>
      <c r="J634" s="192"/>
    </row>
    <row r="635" ht="14.25" customHeight="1">
      <c r="A635" s="158"/>
      <c r="E635" s="192"/>
      <c r="F635" s="192"/>
      <c r="G635" s="192"/>
      <c r="H635" s="192"/>
      <c r="I635" s="192"/>
      <c r="J635" s="192"/>
    </row>
    <row r="636" ht="14.25" customHeight="1">
      <c r="A636" s="158"/>
      <c r="E636" s="192"/>
      <c r="F636" s="192"/>
      <c r="G636" s="192"/>
      <c r="H636" s="192"/>
      <c r="I636" s="192"/>
      <c r="J636" s="192"/>
    </row>
    <row r="637" ht="14.25" customHeight="1">
      <c r="A637" s="158"/>
      <c r="E637" s="192"/>
      <c r="F637" s="192"/>
      <c r="G637" s="192"/>
      <c r="H637" s="192"/>
      <c r="I637" s="192"/>
      <c r="J637" s="192"/>
    </row>
    <row r="638" ht="14.25" customHeight="1">
      <c r="A638" s="158"/>
      <c r="E638" s="192"/>
      <c r="F638" s="192"/>
      <c r="G638" s="192"/>
      <c r="H638" s="192"/>
      <c r="I638" s="192"/>
      <c r="J638" s="192"/>
    </row>
    <row r="639" ht="14.25" customHeight="1">
      <c r="A639" s="158"/>
      <c r="E639" s="192"/>
      <c r="F639" s="192"/>
      <c r="G639" s="192"/>
      <c r="H639" s="192"/>
      <c r="I639" s="192"/>
      <c r="J639" s="192"/>
    </row>
    <row r="640" ht="14.25" customHeight="1">
      <c r="A640" s="158"/>
      <c r="E640" s="192"/>
      <c r="F640" s="192"/>
      <c r="G640" s="192"/>
      <c r="H640" s="192"/>
      <c r="I640" s="192"/>
      <c r="J640" s="192"/>
    </row>
    <row r="641" ht="14.25" customHeight="1">
      <c r="A641" s="158"/>
      <c r="E641" s="192"/>
      <c r="F641" s="192"/>
      <c r="G641" s="192"/>
      <c r="H641" s="192"/>
      <c r="I641" s="192"/>
      <c r="J641" s="192"/>
    </row>
    <row r="642" ht="14.25" customHeight="1">
      <c r="A642" s="158"/>
      <c r="E642" s="192"/>
      <c r="F642" s="192"/>
      <c r="G642" s="192"/>
      <c r="H642" s="192"/>
      <c r="I642" s="192"/>
      <c r="J642" s="192"/>
    </row>
    <row r="643" ht="14.25" customHeight="1">
      <c r="A643" s="158"/>
      <c r="E643" s="192"/>
      <c r="F643" s="192"/>
      <c r="G643" s="192"/>
      <c r="H643" s="192"/>
      <c r="I643" s="192"/>
      <c r="J643" s="192"/>
    </row>
    <row r="644" ht="14.25" customHeight="1">
      <c r="A644" s="158"/>
      <c r="E644" s="192"/>
      <c r="F644" s="192"/>
      <c r="G644" s="192"/>
      <c r="H644" s="192"/>
      <c r="I644" s="192"/>
      <c r="J644" s="192"/>
    </row>
    <row r="645" ht="14.25" customHeight="1">
      <c r="A645" s="158"/>
      <c r="E645" s="192"/>
      <c r="F645" s="192"/>
      <c r="G645" s="192"/>
      <c r="H645" s="192"/>
      <c r="I645" s="192"/>
      <c r="J645" s="192"/>
    </row>
    <row r="646" ht="14.25" customHeight="1">
      <c r="A646" s="158"/>
      <c r="E646" s="192"/>
      <c r="F646" s="192"/>
      <c r="G646" s="192"/>
      <c r="H646" s="192"/>
      <c r="I646" s="192"/>
      <c r="J646" s="192"/>
    </row>
    <row r="647" ht="14.25" customHeight="1">
      <c r="A647" s="158"/>
      <c r="E647" s="192"/>
      <c r="F647" s="192"/>
      <c r="G647" s="192"/>
      <c r="H647" s="192"/>
      <c r="I647" s="192"/>
      <c r="J647" s="192"/>
    </row>
    <row r="648" ht="14.25" customHeight="1">
      <c r="A648" s="158"/>
      <c r="E648" s="192"/>
      <c r="F648" s="192"/>
      <c r="G648" s="192"/>
      <c r="H648" s="192"/>
      <c r="I648" s="192"/>
      <c r="J648" s="192"/>
    </row>
    <row r="649" ht="14.25" customHeight="1">
      <c r="A649" s="158"/>
      <c r="E649" s="192"/>
      <c r="F649" s="192"/>
      <c r="G649" s="192"/>
      <c r="H649" s="192"/>
      <c r="I649" s="192"/>
      <c r="J649" s="192"/>
    </row>
    <row r="650" ht="14.25" customHeight="1">
      <c r="A650" s="158"/>
      <c r="E650" s="192"/>
      <c r="F650" s="192"/>
      <c r="G650" s="192"/>
      <c r="H650" s="192"/>
      <c r="I650" s="192"/>
      <c r="J650" s="192"/>
    </row>
    <row r="651" ht="14.25" customHeight="1">
      <c r="A651" s="158"/>
      <c r="E651" s="192"/>
      <c r="F651" s="192"/>
      <c r="G651" s="192"/>
      <c r="H651" s="192"/>
      <c r="I651" s="192"/>
      <c r="J651" s="192"/>
    </row>
    <row r="652" ht="14.25" customHeight="1">
      <c r="A652" s="158"/>
      <c r="E652" s="192"/>
      <c r="F652" s="192"/>
      <c r="G652" s="192"/>
      <c r="H652" s="192"/>
      <c r="I652" s="192"/>
      <c r="J652" s="192"/>
    </row>
    <row r="653" ht="14.25" customHeight="1">
      <c r="A653" s="158"/>
      <c r="E653" s="192"/>
      <c r="F653" s="192"/>
      <c r="G653" s="192"/>
      <c r="H653" s="192"/>
      <c r="I653" s="192"/>
      <c r="J653" s="192"/>
    </row>
    <row r="654" ht="14.25" customHeight="1">
      <c r="A654" s="158"/>
      <c r="E654" s="192"/>
      <c r="F654" s="192"/>
      <c r="G654" s="192"/>
      <c r="H654" s="192"/>
      <c r="I654" s="192"/>
      <c r="J654" s="192"/>
    </row>
    <row r="655" ht="14.25" customHeight="1">
      <c r="A655" s="158"/>
      <c r="E655" s="192"/>
      <c r="F655" s="192"/>
      <c r="G655" s="192"/>
      <c r="H655" s="192"/>
      <c r="I655" s="192"/>
      <c r="J655" s="192"/>
    </row>
    <row r="656" ht="14.25" customHeight="1">
      <c r="A656" s="158"/>
      <c r="E656" s="192"/>
      <c r="F656" s="192"/>
      <c r="G656" s="192"/>
      <c r="H656" s="192"/>
      <c r="I656" s="192"/>
      <c r="J656" s="192"/>
    </row>
    <row r="657" ht="14.25" customHeight="1">
      <c r="A657" s="158"/>
      <c r="E657" s="192"/>
      <c r="F657" s="192"/>
      <c r="G657" s="192"/>
      <c r="H657" s="192"/>
      <c r="I657" s="192"/>
      <c r="J657" s="192"/>
    </row>
    <row r="658" ht="14.25" customHeight="1">
      <c r="A658" s="158"/>
      <c r="E658" s="192"/>
      <c r="F658" s="192"/>
      <c r="G658" s="192"/>
      <c r="H658" s="192"/>
      <c r="I658" s="192"/>
      <c r="J658" s="192"/>
    </row>
    <row r="659" ht="14.25" customHeight="1">
      <c r="A659" s="158"/>
      <c r="E659" s="192"/>
      <c r="F659" s="192"/>
      <c r="G659" s="192"/>
      <c r="H659" s="192"/>
      <c r="I659" s="192"/>
      <c r="J659" s="192"/>
    </row>
    <row r="660" ht="14.25" customHeight="1">
      <c r="A660" s="158"/>
      <c r="E660" s="192"/>
      <c r="F660" s="192"/>
      <c r="G660" s="192"/>
      <c r="H660" s="192"/>
      <c r="I660" s="192"/>
      <c r="J660" s="192"/>
    </row>
    <row r="661" ht="14.25" customHeight="1">
      <c r="A661" s="158"/>
      <c r="E661" s="192"/>
      <c r="F661" s="192"/>
      <c r="G661" s="192"/>
      <c r="H661" s="192"/>
      <c r="I661" s="192"/>
      <c r="J661" s="192"/>
    </row>
    <row r="662" ht="14.25" customHeight="1">
      <c r="A662" s="158"/>
      <c r="E662" s="192"/>
      <c r="F662" s="192"/>
      <c r="G662" s="192"/>
      <c r="H662" s="192"/>
      <c r="I662" s="192"/>
      <c r="J662" s="192"/>
    </row>
    <row r="663" ht="14.25" customHeight="1">
      <c r="A663" s="158"/>
      <c r="E663" s="192"/>
      <c r="F663" s="192"/>
      <c r="G663" s="192"/>
      <c r="H663" s="192"/>
      <c r="I663" s="192"/>
      <c r="J663" s="192"/>
    </row>
    <row r="664" ht="14.25" customHeight="1">
      <c r="A664" s="158"/>
      <c r="E664" s="192"/>
      <c r="F664" s="192"/>
      <c r="G664" s="192"/>
      <c r="H664" s="192"/>
      <c r="I664" s="192"/>
      <c r="J664" s="192"/>
    </row>
    <row r="665" ht="14.25" customHeight="1">
      <c r="A665" s="158"/>
      <c r="E665" s="192"/>
      <c r="F665" s="192"/>
      <c r="G665" s="192"/>
      <c r="H665" s="192"/>
      <c r="I665" s="192"/>
      <c r="J665" s="192"/>
    </row>
    <row r="666" ht="14.25" customHeight="1">
      <c r="A666" s="158"/>
      <c r="E666" s="192"/>
      <c r="F666" s="192"/>
      <c r="G666" s="192"/>
      <c r="H666" s="192"/>
      <c r="I666" s="192"/>
      <c r="J666" s="192"/>
    </row>
    <row r="667" ht="14.25" customHeight="1">
      <c r="A667" s="158"/>
      <c r="E667" s="192"/>
      <c r="F667" s="192"/>
      <c r="G667" s="192"/>
      <c r="H667" s="192"/>
      <c r="I667" s="192"/>
      <c r="J667" s="192"/>
    </row>
    <row r="668" ht="14.25" customHeight="1">
      <c r="A668" s="158"/>
      <c r="E668" s="192"/>
      <c r="F668" s="192"/>
      <c r="G668" s="192"/>
      <c r="H668" s="192"/>
      <c r="I668" s="192"/>
      <c r="J668" s="192"/>
    </row>
    <row r="669" ht="14.25" customHeight="1">
      <c r="A669" s="158"/>
      <c r="E669" s="192"/>
      <c r="F669" s="192"/>
      <c r="G669" s="192"/>
      <c r="H669" s="192"/>
      <c r="I669" s="192"/>
      <c r="J669" s="192"/>
    </row>
    <row r="670" ht="14.25" customHeight="1">
      <c r="A670" s="158"/>
      <c r="E670" s="192"/>
      <c r="F670" s="192"/>
      <c r="G670" s="192"/>
      <c r="H670" s="192"/>
      <c r="I670" s="192"/>
      <c r="J670" s="192"/>
    </row>
    <row r="671" ht="14.25" customHeight="1">
      <c r="A671" s="158"/>
      <c r="E671" s="192"/>
      <c r="F671" s="192"/>
      <c r="G671" s="192"/>
      <c r="H671" s="192"/>
      <c r="I671" s="192"/>
      <c r="J671" s="192"/>
    </row>
    <row r="672" ht="14.25" customHeight="1">
      <c r="A672" s="158"/>
      <c r="E672" s="192"/>
      <c r="F672" s="192"/>
      <c r="G672" s="192"/>
      <c r="H672" s="192"/>
      <c r="I672" s="192"/>
      <c r="J672" s="192"/>
    </row>
    <row r="673" ht="14.25" customHeight="1">
      <c r="A673" s="158"/>
      <c r="E673" s="192"/>
      <c r="F673" s="192"/>
      <c r="G673" s="192"/>
      <c r="H673" s="192"/>
      <c r="I673" s="192"/>
      <c r="J673" s="192"/>
    </row>
    <row r="674" ht="14.25" customHeight="1">
      <c r="A674" s="158"/>
      <c r="E674" s="192"/>
      <c r="F674" s="192"/>
      <c r="G674" s="192"/>
      <c r="H674" s="192"/>
      <c r="I674" s="192"/>
      <c r="J674" s="192"/>
    </row>
    <row r="675" ht="14.25" customHeight="1">
      <c r="A675" s="158"/>
      <c r="E675" s="192"/>
      <c r="F675" s="192"/>
      <c r="G675" s="192"/>
      <c r="H675" s="192"/>
      <c r="I675" s="192"/>
      <c r="J675" s="192"/>
    </row>
    <row r="676" ht="14.25" customHeight="1">
      <c r="A676" s="158"/>
      <c r="E676" s="192"/>
      <c r="F676" s="192"/>
      <c r="G676" s="192"/>
      <c r="H676" s="192"/>
      <c r="I676" s="192"/>
      <c r="J676" s="192"/>
    </row>
    <row r="677" ht="14.25" customHeight="1">
      <c r="A677" s="158"/>
      <c r="E677" s="192"/>
      <c r="F677" s="192"/>
      <c r="G677" s="192"/>
      <c r="H677" s="192"/>
      <c r="I677" s="192"/>
      <c r="J677" s="192"/>
    </row>
    <row r="678" ht="14.25" customHeight="1">
      <c r="A678" s="158"/>
      <c r="E678" s="192"/>
      <c r="F678" s="192"/>
      <c r="G678" s="192"/>
      <c r="H678" s="192"/>
      <c r="I678" s="192"/>
      <c r="J678" s="192"/>
    </row>
    <row r="679" ht="14.25" customHeight="1">
      <c r="A679" s="158"/>
      <c r="E679" s="192"/>
      <c r="F679" s="192"/>
      <c r="G679" s="192"/>
      <c r="H679" s="192"/>
      <c r="I679" s="192"/>
      <c r="J679" s="192"/>
    </row>
    <row r="680" ht="14.25" customHeight="1">
      <c r="A680" s="158"/>
      <c r="E680" s="192"/>
      <c r="F680" s="192"/>
      <c r="G680" s="192"/>
      <c r="H680" s="192"/>
      <c r="I680" s="192"/>
      <c r="J680" s="192"/>
    </row>
    <row r="681" ht="14.25" customHeight="1">
      <c r="A681" s="158"/>
      <c r="E681" s="192"/>
      <c r="F681" s="192"/>
      <c r="G681" s="192"/>
      <c r="H681" s="192"/>
      <c r="I681" s="192"/>
      <c r="J681" s="192"/>
    </row>
    <row r="682" ht="14.25" customHeight="1">
      <c r="A682" s="158"/>
      <c r="E682" s="192"/>
      <c r="F682" s="192"/>
      <c r="G682" s="192"/>
      <c r="H682" s="192"/>
      <c r="I682" s="192"/>
      <c r="J682" s="192"/>
    </row>
    <row r="683" ht="14.25" customHeight="1">
      <c r="A683" s="158"/>
      <c r="E683" s="192"/>
      <c r="F683" s="192"/>
      <c r="G683" s="192"/>
      <c r="H683" s="192"/>
      <c r="I683" s="192"/>
      <c r="J683" s="192"/>
    </row>
    <row r="684" ht="14.25" customHeight="1">
      <c r="A684" s="158"/>
      <c r="E684" s="192"/>
      <c r="F684" s="192"/>
      <c r="G684" s="192"/>
      <c r="H684" s="192"/>
      <c r="I684" s="192"/>
      <c r="J684" s="192"/>
    </row>
    <row r="685" ht="14.25" customHeight="1">
      <c r="A685" s="158"/>
      <c r="E685" s="192"/>
      <c r="F685" s="192"/>
      <c r="G685" s="192"/>
      <c r="H685" s="192"/>
      <c r="I685" s="192"/>
      <c r="J685" s="192"/>
    </row>
    <row r="686" ht="14.25" customHeight="1">
      <c r="A686" s="158"/>
      <c r="E686" s="192"/>
      <c r="F686" s="192"/>
      <c r="G686" s="192"/>
      <c r="H686" s="192"/>
      <c r="I686" s="192"/>
      <c r="J686" s="192"/>
    </row>
    <row r="687" ht="14.25" customHeight="1">
      <c r="A687" s="158"/>
      <c r="E687" s="192"/>
      <c r="F687" s="192"/>
      <c r="G687" s="192"/>
      <c r="H687" s="192"/>
      <c r="I687" s="192"/>
      <c r="J687" s="192"/>
    </row>
    <row r="688" ht="14.25" customHeight="1">
      <c r="A688" s="158"/>
      <c r="E688" s="192"/>
      <c r="F688" s="192"/>
      <c r="G688" s="192"/>
      <c r="H688" s="192"/>
      <c r="I688" s="192"/>
      <c r="J688" s="192"/>
    </row>
    <row r="689" ht="14.25" customHeight="1">
      <c r="A689" s="158"/>
      <c r="E689" s="192"/>
      <c r="F689" s="192"/>
      <c r="G689" s="192"/>
      <c r="H689" s="192"/>
      <c r="I689" s="192"/>
      <c r="J689" s="192"/>
    </row>
    <row r="690" ht="14.25" customHeight="1">
      <c r="A690" s="158"/>
      <c r="E690" s="192"/>
      <c r="F690" s="192"/>
      <c r="G690" s="192"/>
      <c r="H690" s="192"/>
      <c r="I690" s="192"/>
      <c r="J690" s="192"/>
    </row>
    <row r="691" ht="14.25" customHeight="1">
      <c r="A691" s="158"/>
      <c r="E691" s="192"/>
      <c r="F691" s="192"/>
      <c r="G691" s="192"/>
      <c r="H691" s="192"/>
      <c r="I691" s="192"/>
      <c r="J691" s="192"/>
    </row>
    <row r="692" ht="14.25" customHeight="1">
      <c r="A692" s="158"/>
      <c r="E692" s="192"/>
      <c r="F692" s="192"/>
      <c r="G692" s="192"/>
      <c r="H692" s="192"/>
      <c r="I692" s="192"/>
      <c r="J692" s="192"/>
    </row>
    <row r="693" ht="14.25" customHeight="1">
      <c r="A693" s="158"/>
      <c r="E693" s="192"/>
      <c r="F693" s="192"/>
      <c r="G693" s="192"/>
      <c r="H693" s="192"/>
      <c r="I693" s="192"/>
      <c r="J693" s="192"/>
    </row>
    <row r="694" ht="14.25" customHeight="1">
      <c r="A694" s="158"/>
      <c r="E694" s="192"/>
      <c r="F694" s="192"/>
      <c r="G694" s="192"/>
      <c r="H694" s="192"/>
      <c r="I694" s="192"/>
      <c r="J694" s="192"/>
    </row>
    <row r="695" ht="14.25" customHeight="1">
      <c r="A695" s="158"/>
      <c r="E695" s="192"/>
      <c r="F695" s="192"/>
      <c r="G695" s="192"/>
      <c r="H695" s="192"/>
      <c r="I695" s="192"/>
      <c r="J695" s="192"/>
    </row>
    <row r="696" ht="14.25" customHeight="1">
      <c r="A696" s="158"/>
      <c r="E696" s="192"/>
      <c r="F696" s="192"/>
      <c r="G696" s="192"/>
      <c r="H696" s="192"/>
      <c r="I696" s="192"/>
      <c r="J696" s="192"/>
    </row>
    <row r="697" ht="14.25" customHeight="1">
      <c r="A697" s="158"/>
      <c r="E697" s="192"/>
      <c r="F697" s="192"/>
      <c r="G697" s="192"/>
      <c r="H697" s="192"/>
      <c r="I697" s="192"/>
      <c r="J697" s="192"/>
    </row>
    <row r="698" ht="14.25" customHeight="1">
      <c r="A698" s="158"/>
      <c r="E698" s="192"/>
      <c r="F698" s="192"/>
      <c r="G698" s="192"/>
      <c r="H698" s="192"/>
      <c r="I698" s="192"/>
      <c r="J698" s="192"/>
    </row>
    <row r="699" ht="14.25" customHeight="1">
      <c r="A699" s="158"/>
      <c r="E699" s="192"/>
      <c r="F699" s="192"/>
      <c r="G699" s="192"/>
      <c r="H699" s="192"/>
      <c r="I699" s="192"/>
      <c r="J699" s="192"/>
    </row>
    <row r="700" ht="14.25" customHeight="1">
      <c r="A700" s="158"/>
      <c r="E700" s="192"/>
      <c r="F700" s="192"/>
      <c r="G700" s="192"/>
      <c r="H700" s="192"/>
      <c r="I700" s="192"/>
      <c r="J700" s="192"/>
    </row>
    <row r="701" ht="14.25" customHeight="1">
      <c r="A701" s="158"/>
      <c r="E701" s="192"/>
      <c r="F701" s="192"/>
      <c r="G701" s="192"/>
      <c r="H701" s="192"/>
      <c r="I701" s="192"/>
      <c r="J701" s="192"/>
    </row>
    <row r="702" ht="14.25" customHeight="1">
      <c r="A702" s="158"/>
      <c r="E702" s="192"/>
      <c r="F702" s="192"/>
      <c r="G702" s="192"/>
      <c r="H702" s="192"/>
      <c r="I702" s="192"/>
      <c r="J702" s="192"/>
    </row>
    <row r="703" ht="14.25" customHeight="1">
      <c r="A703" s="158"/>
      <c r="E703" s="192"/>
      <c r="F703" s="192"/>
      <c r="G703" s="192"/>
      <c r="H703" s="192"/>
      <c r="I703" s="192"/>
      <c r="J703" s="192"/>
    </row>
    <row r="704" ht="14.25" customHeight="1">
      <c r="A704" s="158"/>
      <c r="E704" s="192"/>
      <c r="F704" s="192"/>
      <c r="G704" s="192"/>
      <c r="H704" s="192"/>
      <c r="I704" s="192"/>
      <c r="J704" s="192"/>
    </row>
    <row r="705" ht="14.25" customHeight="1">
      <c r="A705" s="158"/>
      <c r="E705" s="192"/>
      <c r="F705" s="192"/>
      <c r="G705" s="192"/>
      <c r="H705" s="192"/>
      <c r="I705" s="192"/>
      <c r="J705" s="192"/>
    </row>
    <row r="706" ht="14.25" customHeight="1">
      <c r="A706" s="158"/>
      <c r="E706" s="192"/>
      <c r="F706" s="192"/>
      <c r="G706" s="192"/>
      <c r="H706" s="192"/>
      <c r="I706" s="192"/>
      <c r="J706" s="192"/>
    </row>
    <row r="707" ht="14.25" customHeight="1">
      <c r="A707" s="158"/>
      <c r="E707" s="192"/>
      <c r="F707" s="192"/>
      <c r="G707" s="192"/>
      <c r="H707" s="192"/>
      <c r="I707" s="192"/>
      <c r="J707" s="192"/>
    </row>
    <row r="708" ht="14.25" customHeight="1">
      <c r="A708" s="158"/>
      <c r="E708" s="192"/>
      <c r="F708" s="192"/>
      <c r="G708" s="192"/>
      <c r="H708" s="192"/>
      <c r="I708" s="192"/>
      <c r="J708" s="192"/>
    </row>
    <row r="709" ht="14.25" customHeight="1">
      <c r="A709" s="158"/>
      <c r="E709" s="192"/>
      <c r="F709" s="192"/>
      <c r="G709" s="192"/>
      <c r="H709" s="192"/>
      <c r="I709" s="192"/>
      <c r="J709" s="192"/>
    </row>
    <row r="710" ht="14.25" customHeight="1">
      <c r="A710" s="158"/>
      <c r="E710" s="192"/>
      <c r="F710" s="192"/>
      <c r="G710" s="192"/>
      <c r="H710" s="192"/>
      <c r="I710" s="192"/>
      <c r="J710" s="192"/>
    </row>
    <row r="711" ht="14.25" customHeight="1">
      <c r="A711" s="158"/>
      <c r="E711" s="192"/>
      <c r="F711" s="192"/>
      <c r="G711" s="192"/>
      <c r="H711" s="192"/>
      <c r="I711" s="192"/>
      <c r="J711" s="192"/>
    </row>
    <row r="712" ht="14.25" customHeight="1">
      <c r="A712" s="158"/>
      <c r="E712" s="192"/>
      <c r="F712" s="192"/>
      <c r="G712" s="192"/>
      <c r="H712" s="192"/>
      <c r="I712" s="192"/>
      <c r="J712" s="192"/>
    </row>
    <row r="713" ht="14.25" customHeight="1">
      <c r="A713" s="158"/>
      <c r="E713" s="192"/>
      <c r="F713" s="192"/>
      <c r="G713" s="192"/>
      <c r="H713" s="192"/>
      <c r="I713" s="192"/>
      <c r="J713" s="192"/>
    </row>
    <row r="714" ht="14.25" customHeight="1">
      <c r="A714" s="158"/>
      <c r="E714" s="192"/>
      <c r="F714" s="192"/>
      <c r="G714" s="192"/>
      <c r="H714" s="192"/>
      <c r="I714" s="192"/>
      <c r="J714" s="192"/>
    </row>
    <row r="715" ht="14.25" customHeight="1">
      <c r="A715" s="158"/>
      <c r="E715" s="192"/>
      <c r="F715" s="192"/>
      <c r="G715" s="192"/>
      <c r="H715" s="192"/>
      <c r="I715" s="192"/>
      <c r="J715" s="192"/>
    </row>
    <row r="716" ht="14.25" customHeight="1">
      <c r="A716" s="158"/>
      <c r="E716" s="192"/>
      <c r="F716" s="192"/>
      <c r="G716" s="192"/>
      <c r="H716" s="192"/>
      <c r="I716" s="192"/>
      <c r="J716" s="192"/>
    </row>
    <row r="717" ht="14.25" customHeight="1">
      <c r="A717" s="158"/>
      <c r="E717" s="192"/>
      <c r="F717" s="192"/>
      <c r="G717" s="192"/>
      <c r="H717" s="192"/>
      <c r="I717" s="192"/>
      <c r="J717" s="192"/>
    </row>
    <row r="718" ht="14.25" customHeight="1">
      <c r="A718" s="158"/>
      <c r="E718" s="192"/>
      <c r="F718" s="192"/>
      <c r="G718" s="192"/>
      <c r="H718" s="192"/>
      <c r="I718" s="192"/>
      <c r="J718" s="192"/>
    </row>
    <row r="719" ht="14.25" customHeight="1">
      <c r="A719" s="158"/>
      <c r="E719" s="192"/>
      <c r="F719" s="192"/>
      <c r="G719" s="192"/>
      <c r="H719" s="192"/>
      <c r="I719" s="192"/>
      <c r="J719" s="192"/>
    </row>
    <row r="720" ht="14.25" customHeight="1">
      <c r="A720" s="158"/>
      <c r="E720" s="192"/>
      <c r="F720" s="192"/>
      <c r="G720" s="192"/>
      <c r="H720" s="192"/>
      <c r="I720" s="192"/>
      <c r="J720" s="192"/>
    </row>
    <row r="721" ht="14.25" customHeight="1">
      <c r="A721" s="158"/>
      <c r="E721" s="192"/>
      <c r="F721" s="192"/>
      <c r="G721" s="192"/>
      <c r="H721" s="192"/>
      <c r="I721" s="192"/>
      <c r="J721" s="192"/>
    </row>
    <row r="722" ht="14.25" customHeight="1">
      <c r="A722" s="158"/>
      <c r="E722" s="192"/>
      <c r="F722" s="192"/>
      <c r="G722" s="192"/>
      <c r="H722" s="192"/>
      <c r="I722" s="192"/>
      <c r="J722" s="192"/>
    </row>
    <row r="723" ht="14.25" customHeight="1">
      <c r="A723" s="158"/>
      <c r="E723" s="192"/>
      <c r="F723" s="192"/>
      <c r="G723" s="192"/>
      <c r="H723" s="192"/>
      <c r="I723" s="192"/>
      <c r="J723" s="192"/>
    </row>
    <row r="724" ht="14.25" customHeight="1">
      <c r="A724" s="158"/>
      <c r="E724" s="192"/>
      <c r="F724" s="192"/>
      <c r="G724" s="192"/>
      <c r="H724" s="192"/>
      <c r="I724" s="192"/>
      <c r="J724" s="192"/>
    </row>
    <row r="725" ht="14.25" customHeight="1">
      <c r="A725" s="158"/>
      <c r="E725" s="192"/>
      <c r="F725" s="192"/>
      <c r="G725" s="192"/>
      <c r="H725" s="192"/>
      <c r="I725" s="192"/>
      <c r="J725" s="192"/>
    </row>
    <row r="726" ht="14.25" customHeight="1">
      <c r="A726" s="158"/>
      <c r="E726" s="192"/>
      <c r="F726" s="192"/>
      <c r="G726" s="192"/>
      <c r="H726" s="192"/>
      <c r="I726" s="192"/>
      <c r="J726" s="192"/>
    </row>
    <row r="727" ht="14.25" customHeight="1">
      <c r="A727" s="158"/>
      <c r="E727" s="192"/>
      <c r="F727" s="192"/>
      <c r="G727" s="192"/>
      <c r="H727" s="192"/>
      <c r="I727" s="192"/>
      <c r="J727" s="192"/>
    </row>
    <row r="728" ht="14.25" customHeight="1">
      <c r="A728" s="158"/>
      <c r="E728" s="192"/>
      <c r="F728" s="192"/>
      <c r="G728" s="192"/>
      <c r="H728" s="192"/>
      <c r="I728" s="192"/>
      <c r="J728" s="192"/>
    </row>
    <row r="729" ht="14.25" customHeight="1">
      <c r="A729" s="158"/>
      <c r="E729" s="192"/>
      <c r="F729" s="192"/>
      <c r="G729" s="192"/>
      <c r="H729" s="192"/>
      <c r="I729" s="192"/>
      <c r="J729" s="192"/>
    </row>
    <row r="730" ht="14.25" customHeight="1">
      <c r="A730" s="158"/>
      <c r="E730" s="192"/>
      <c r="F730" s="192"/>
      <c r="G730" s="192"/>
      <c r="H730" s="192"/>
      <c r="I730" s="192"/>
      <c r="J730" s="192"/>
    </row>
    <row r="731" ht="14.25" customHeight="1">
      <c r="A731" s="158"/>
      <c r="E731" s="192"/>
      <c r="F731" s="192"/>
      <c r="G731" s="192"/>
      <c r="H731" s="192"/>
      <c r="I731" s="192"/>
      <c r="J731" s="192"/>
    </row>
    <row r="732" ht="14.25" customHeight="1">
      <c r="A732" s="158"/>
      <c r="E732" s="192"/>
      <c r="F732" s="192"/>
      <c r="G732" s="192"/>
      <c r="H732" s="192"/>
      <c r="I732" s="192"/>
      <c r="J732" s="192"/>
    </row>
    <row r="733" ht="14.25" customHeight="1">
      <c r="A733" s="158"/>
      <c r="E733" s="192"/>
      <c r="F733" s="192"/>
      <c r="G733" s="192"/>
      <c r="H733" s="192"/>
      <c r="I733" s="192"/>
      <c r="J733" s="192"/>
    </row>
    <row r="734" ht="14.25" customHeight="1">
      <c r="A734" s="158"/>
      <c r="E734" s="192"/>
      <c r="F734" s="192"/>
      <c r="G734" s="192"/>
      <c r="H734" s="192"/>
      <c r="I734" s="192"/>
      <c r="J734" s="192"/>
    </row>
    <row r="735" ht="14.25" customHeight="1">
      <c r="A735" s="158"/>
      <c r="E735" s="192"/>
      <c r="F735" s="192"/>
      <c r="G735" s="192"/>
      <c r="H735" s="192"/>
      <c r="I735" s="192"/>
      <c r="J735" s="192"/>
    </row>
    <row r="736" ht="14.25" customHeight="1">
      <c r="A736" s="158"/>
      <c r="E736" s="192"/>
      <c r="F736" s="192"/>
      <c r="G736" s="192"/>
      <c r="H736" s="192"/>
      <c r="I736" s="192"/>
      <c r="J736" s="192"/>
    </row>
    <row r="737" ht="14.25" customHeight="1">
      <c r="A737" s="158"/>
      <c r="E737" s="192"/>
      <c r="F737" s="192"/>
      <c r="G737" s="192"/>
      <c r="H737" s="192"/>
      <c r="I737" s="192"/>
      <c r="J737" s="192"/>
    </row>
    <row r="738" ht="14.25" customHeight="1">
      <c r="A738" s="158"/>
      <c r="E738" s="192"/>
      <c r="F738" s="192"/>
      <c r="G738" s="192"/>
      <c r="H738" s="192"/>
      <c r="I738" s="192"/>
      <c r="J738" s="192"/>
    </row>
    <row r="739" ht="14.25" customHeight="1">
      <c r="A739" s="158"/>
      <c r="E739" s="192"/>
      <c r="F739" s="192"/>
      <c r="G739" s="192"/>
      <c r="H739" s="192"/>
      <c r="I739" s="192"/>
      <c r="J739" s="192"/>
    </row>
    <row r="740" ht="14.25" customHeight="1">
      <c r="A740" s="158"/>
      <c r="E740" s="192"/>
      <c r="F740" s="192"/>
      <c r="G740" s="192"/>
      <c r="H740" s="192"/>
      <c r="I740" s="192"/>
      <c r="J740" s="192"/>
    </row>
    <row r="741" ht="14.25" customHeight="1">
      <c r="A741" s="158"/>
      <c r="E741" s="192"/>
      <c r="F741" s="192"/>
      <c r="G741" s="192"/>
      <c r="H741" s="192"/>
      <c r="I741" s="192"/>
      <c r="J741" s="192"/>
    </row>
    <row r="742" ht="14.25" customHeight="1">
      <c r="A742" s="158"/>
      <c r="E742" s="192"/>
      <c r="F742" s="192"/>
      <c r="G742" s="192"/>
      <c r="H742" s="192"/>
      <c r="I742" s="192"/>
      <c r="J742" s="192"/>
    </row>
    <row r="743" ht="14.25" customHeight="1">
      <c r="A743" s="158"/>
      <c r="E743" s="192"/>
      <c r="F743" s="192"/>
      <c r="G743" s="192"/>
      <c r="H743" s="192"/>
      <c r="I743" s="192"/>
      <c r="J743" s="192"/>
    </row>
    <row r="744" ht="14.25" customHeight="1">
      <c r="A744" s="158"/>
      <c r="E744" s="192"/>
      <c r="F744" s="192"/>
      <c r="G744" s="192"/>
      <c r="H744" s="192"/>
      <c r="I744" s="192"/>
      <c r="J744" s="192"/>
    </row>
    <row r="745" ht="14.25" customHeight="1">
      <c r="A745" s="158"/>
      <c r="E745" s="192"/>
      <c r="F745" s="192"/>
      <c r="G745" s="192"/>
      <c r="H745" s="192"/>
      <c r="I745" s="192"/>
      <c r="J745" s="192"/>
    </row>
    <row r="746" ht="14.25" customHeight="1">
      <c r="A746" s="158"/>
      <c r="E746" s="192"/>
      <c r="F746" s="192"/>
      <c r="G746" s="192"/>
      <c r="H746" s="192"/>
      <c r="I746" s="192"/>
      <c r="J746" s="192"/>
    </row>
    <row r="747" ht="14.25" customHeight="1">
      <c r="A747" s="158"/>
      <c r="E747" s="192"/>
      <c r="F747" s="192"/>
      <c r="G747" s="192"/>
      <c r="H747" s="192"/>
      <c r="I747" s="192"/>
      <c r="J747" s="192"/>
    </row>
    <row r="748" ht="14.25" customHeight="1">
      <c r="A748" s="158"/>
      <c r="E748" s="192"/>
      <c r="F748" s="192"/>
      <c r="G748" s="192"/>
      <c r="H748" s="192"/>
      <c r="I748" s="192"/>
      <c r="J748" s="192"/>
    </row>
    <row r="749" ht="14.25" customHeight="1">
      <c r="A749" s="158"/>
      <c r="E749" s="192"/>
      <c r="F749" s="192"/>
      <c r="G749" s="192"/>
      <c r="H749" s="192"/>
      <c r="I749" s="192"/>
      <c r="J749" s="192"/>
    </row>
    <row r="750" ht="14.25" customHeight="1">
      <c r="A750" s="158"/>
      <c r="E750" s="192"/>
      <c r="F750" s="192"/>
      <c r="G750" s="192"/>
      <c r="H750" s="192"/>
      <c r="I750" s="192"/>
      <c r="J750" s="192"/>
    </row>
    <row r="751" ht="14.25" customHeight="1">
      <c r="A751" s="158"/>
      <c r="E751" s="192"/>
      <c r="F751" s="192"/>
      <c r="G751" s="192"/>
      <c r="H751" s="192"/>
      <c r="I751" s="192"/>
      <c r="J751" s="192"/>
    </row>
    <row r="752" ht="14.25" customHeight="1">
      <c r="A752" s="158"/>
      <c r="E752" s="192"/>
      <c r="F752" s="192"/>
      <c r="G752" s="192"/>
      <c r="H752" s="192"/>
      <c r="I752" s="192"/>
      <c r="J752" s="192"/>
    </row>
    <row r="753" ht="14.25" customHeight="1">
      <c r="A753" s="158"/>
      <c r="E753" s="192"/>
      <c r="F753" s="192"/>
      <c r="G753" s="192"/>
      <c r="H753" s="192"/>
      <c r="I753" s="192"/>
      <c r="J753" s="192"/>
    </row>
    <row r="754" ht="14.25" customHeight="1">
      <c r="A754" s="158"/>
      <c r="E754" s="192"/>
      <c r="F754" s="192"/>
      <c r="G754" s="192"/>
      <c r="H754" s="192"/>
      <c r="I754" s="192"/>
      <c r="J754" s="192"/>
    </row>
    <row r="755" ht="14.25" customHeight="1">
      <c r="A755" s="158"/>
      <c r="E755" s="192"/>
      <c r="F755" s="192"/>
      <c r="G755" s="192"/>
      <c r="H755" s="192"/>
      <c r="I755" s="192"/>
      <c r="J755" s="192"/>
    </row>
    <row r="756" ht="14.25" customHeight="1">
      <c r="A756" s="158"/>
      <c r="E756" s="192"/>
      <c r="F756" s="192"/>
      <c r="G756" s="192"/>
      <c r="H756" s="192"/>
      <c r="I756" s="192"/>
      <c r="J756" s="192"/>
    </row>
    <row r="757" ht="14.25" customHeight="1">
      <c r="A757" s="158"/>
      <c r="E757" s="192"/>
      <c r="F757" s="192"/>
      <c r="G757" s="192"/>
      <c r="H757" s="192"/>
      <c r="I757" s="192"/>
      <c r="J757" s="192"/>
    </row>
    <row r="758" ht="14.25" customHeight="1">
      <c r="A758" s="158"/>
      <c r="E758" s="192"/>
      <c r="F758" s="192"/>
      <c r="G758" s="192"/>
      <c r="H758" s="192"/>
      <c r="I758" s="192"/>
      <c r="J758" s="192"/>
    </row>
    <row r="759" ht="14.25" customHeight="1">
      <c r="A759" s="158"/>
      <c r="E759" s="192"/>
      <c r="F759" s="192"/>
      <c r="G759" s="192"/>
      <c r="H759" s="192"/>
      <c r="I759" s="192"/>
      <c r="J759" s="192"/>
    </row>
    <row r="760" ht="14.25" customHeight="1">
      <c r="A760" s="158"/>
      <c r="E760" s="192"/>
      <c r="F760" s="192"/>
      <c r="G760" s="192"/>
      <c r="H760" s="192"/>
      <c r="I760" s="192"/>
      <c r="J760" s="192"/>
    </row>
    <row r="761" ht="14.25" customHeight="1">
      <c r="A761" s="158"/>
      <c r="E761" s="192"/>
      <c r="F761" s="192"/>
      <c r="G761" s="192"/>
      <c r="H761" s="192"/>
      <c r="I761" s="192"/>
      <c r="J761" s="192"/>
    </row>
    <row r="762" ht="14.25" customHeight="1">
      <c r="A762" s="158"/>
      <c r="E762" s="192"/>
      <c r="F762" s="192"/>
      <c r="G762" s="192"/>
      <c r="H762" s="192"/>
      <c r="I762" s="192"/>
      <c r="J762" s="192"/>
    </row>
    <row r="763" ht="14.25" customHeight="1">
      <c r="A763" s="158"/>
      <c r="E763" s="192"/>
      <c r="F763" s="192"/>
      <c r="G763" s="192"/>
      <c r="H763" s="192"/>
      <c r="I763" s="192"/>
      <c r="J763" s="192"/>
    </row>
    <row r="764" ht="14.25" customHeight="1">
      <c r="A764" s="158"/>
      <c r="E764" s="192"/>
      <c r="F764" s="192"/>
      <c r="G764" s="192"/>
      <c r="H764" s="192"/>
      <c r="I764" s="192"/>
      <c r="J764" s="192"/>
    </row>
    <row r="765" ht="14.25" customHeight="1">
      <c r="A765" s="158"/>
      <c r="E765" s="192"/>
      <c r="F765" s="192"/>
      <c r="G765" s="192"/>
      <c r="H765" s="192"/>
      <c r="I765" s="192"/>
      <c r="J765" s="192"/>
    </row>
    <row r="766" ht="14.25" customHeight="1">
      <c r="A766" s="158"/>
      <c r="E766" s="192"/>
      <c r="F766" s="192"/>
      <c r="G766" s="192"/>
      <c r="H766" s="192"/>
      <c r="I766" s="192"/>
      <c r="J766" s="192"/>
    </row>
    <row r="767" ht="14.25" customHeight="1">
      <c r="A767" s="158"/>
      <c r="E767" s="192"/>
      <c r="F767" s="192"/>
      <c r="G767" s="192"/>
      <c r="H767" s="192"/>
      <c r="I767" s="192"/>
      <c r="J767" s="192"/>
    </row>
    <row r="768" ht="14.25" customHeight="1">
      <c r="A768" s="158"/>
      <c r="E768" s="192"/>
      <c r="F768" s="192"/>
      <c r="G768" s="192"/>
      <c r="H768" s="192"/>
      <c r="I768" s="192"/>
      <c r="J768" s="192"/>
    </row>
    <row r="769" ht="14.25" customHeight="1">
      <c r="A769" s="158"/>
      <c r="E769" s="192"/>
      <c r="F769" s="192"/>
      <c r="G769" s="192"/>
      <c r="H769" s="192"/>
      <c r="I769" s="192"/>
      <c r="J769" s="192"/>
    </row>
    <row r="770" ht="14.25" customHeight="1">
      <c r="A770" s="158"/>
      <c r="E770" s="192"/>
      <c r="F770" s="192"/>
      <c r="G770" s="192"/>
      <c r="H770" s="192"/>
      <c r="I770" s="192"/>
      <c r="J770" s="192"/>
    </row>
    <row r="771" ht="14.25" customHeight="1">
      <c r="A771" s="158"/>
      <c r="E771" s="192"/>
      <c r="F771" s="192"/>
      <c r="G771" s="192"/>
      <c r="H771" s="192"/>
      <c r="I771" s="192"/>
      <c r="J771" s="192"/>
    </row>
    <row r="772" ht="14.25" customHeight="1">
      <c r="A772" s="158"/>
      <c r="E772" s="192"/>
      <c r="F772" s="192"/>
      <c r="G772" s="192"/>
      <c r="H772" s="192"/>
      <c r="I772" s="192"/>
      <c r="J772" s="192"/>
    </row>
    <row r="773" ht="14.25" customHeight="1">
      <c r="A773" s="158"/>
      <c r="E773" s="192"/>
      <c r="F773" s="192"/>
      <c r="G773" s="192"/>
      <c r="H773" s="192"/>
      <c r="I773" s="192"/>
      <c r="J773" s="192"/>
    </row>
    <row r="774" ht="14.25" customHeight="1">
      <c r="A774" s="158"/>
      <c r="E774" s="192"/>
      <c r="F774" s="192"/>
      <c r="G774" s="192"/>
      <c r="H774" s="192"/>
      <c r="I774" s="192"/>
      <c r="J774" s="192"/>
    </row>
    <row r="775" ht="14.25" customHeight="1">
      <c r="A775" s="158"/>
      <c r="E775" s="192"/>
      <c r="F775" s="192"/>
      <c r="G775" s="192"/>
      <c r="H775" s="192"/>
      <c r="I775" s="192"/>
      <c r="J775" s="192"/>
    </row>
    <row r="776" ht="14.25" customHeight="1">
      <c r="A776" s="158"/>
      <c r="E776" s="192"/>
      <c r="F776" s="192"/>
      <c r="G776" s="192"/>
      <c r="H776" s="192"/>
      <c r="I776" s="192"/>
      <c r="J776" s="192"/>
    </row>
    <row r="777" ht="14.25" customHeight="1">
      <c r="A777" s="158"/>
      <c r="E777" s="192"/>
      <c r="F777" s="192"/>
      <c r="G777" s="192"/>
      <c r="H777" s="192"/>
      <c r="I777" s="192"/>
      <c r="J777" s="192"/>
    </row>
    <row r="778" ht="14.25" customHeight="1">
      <c r="A778" s="158"/>
      <c r="E778" s="192"/>
      <c r="F778" s="192"/>
      <c r="G778" s="192"/>
      <c r="H778" s="192"/>
      <c r="I778" s="192"/>
      <c r="J778" s="192"/>
    </row>
    <row r="779" ht="14.25" customHeight="1">
      <c r="A779" s="158"/>
      <c r="E779" s="192"/>
      <c r="F779" s="192"/>
      <c r="G779" s="192"/>
      <c r="H779" s="192"/>
      <c r="I779" s="192"/>
      <c r="J779" s="192"/>
    </row>
    <row r="780" ht="14.25" customHeight="1">
      <c r="A780" s="158"/>
      <c r="E780" s="192"/>
      <c r="F780" s="192"/>
      <c r="G780" s="192"/>
      <c r="H780" s="192"/>
      <c r="I780" s="192"/>
      <c r="J780" s="192"/>
    </row>
    <row r="781" ht="14.25" customHeight="1">
      <c r="A781" s="158"/>
      <c r="E781" s="192"/>
      <c r="F781" s="192"/>
      <c r="G781" s="192"/>
      <c r="H781" s="192"/>
      <c r="I781" s="192"/>
      <c r="J781" s="192"/>
    </row>
    <row r="782" ht="14.25" customHeight="1">
      <c r="A782" s="158"/>
      <c r="E782" s="192"/>
      <c r="F782" s="192"/>
      <c r="G782" s="192"/>
      <c r="H782" s="192"/>
      <c r="I782" s="192"/>
      <c r="J782" s="192"/>
    </row>
    <row r="783" ht="14.25" customHeight="1">
      <c r="A783" s="158"/>
      <c r="E783" s="192"/>
      <c r="F783" s="192"/>
      <c r="G783" s="192"/>
      <c r="H783" s="192"/>
      <c r="I783" s="192"/>
      <c r="J783" s="192"/>
    </row>
    <row r="784" ht="14.25" customHeight="1">
      <c r="A784" s="158"/>
      <c r="E784" s="192"/>
      <c r="F784" s="192"/>
      <c r="G784" s="192"/>
      <c r="H784" s="192"/>
      <c r="I784" s="192"/>
      <c r="J784" s="192"/>
    </row>
    <row r="785" ht="14.25" customHeight="1">
      <c r="A785" s="158"/>
      <c r="E785" s="192"/>
      <c r="F785" s="192"/>
      <c r="G785" s="192"/>
      <c r="H785" s="192"/>
      <c r="I785" s="192"/>
      <c r="J785" s="192"/>
    </row>
    <row r="786" ht="14.25" customHeight="1">
      <c r="A786" s="158"/>
      <c r="E786" s="192"/>
      <c r="F786" s="192"/>
      <c r="G786" s="192"/>
      <c r="H786" s="192"/>
      <c r="I786" s="192"/>
      <c r="J786" s="192"/>
    </row>
    <row r="787" ht="14.25" customHeight="1">
      <c r="A787" s="158"/>
      <c r="E787" s="192"/>
      <c r="F787" s="192"/>
      <c r="G787" s="192"/>
      <c r="H787" s="192"/>
      <c r="I787" s="192"/>
      <c r="J787" s="192"/>
    </row>
    <row r="788" ht="14.25" customHeight="1">
      <c r="A788" s="158"/>
      <c r="E788" s="192"/>
      <c r="F788" s="192"/>
      <c r="G788" s="192"/>
      <c r="H788" s="192"/>
      <c r="I788" s="192"/>
      <c r="J788" s="192"/>
    </row>
    <row r="789" ht="14.25" customHeight="1">
      <c r="A789" s="158"/>
      <c r="E789" s="192"/>
      <c r="F789" s="192"/>
      <c r="G789" s="192"/>
      <c r="H789" s="192"/>
      <c r="I789" s="192"/>
      <c r="J789" s="192"/>
    </row>
    <row r="790" ht="14.25" customHeight="1">
      <c r="A790" s="158"/>
      <c r="E790" s="192"/>
      <c r="F790" s="192"/>
      <c r="G790" s="192"/>
      <c r="H790" s="192"/>
      <c r="I790" s="192"/>
      <c r="J790" s="192"/>
    </row>
    <row r="791" ht="14.25" customHeight="1">
      <c r="A791" s="158"/>
      <c r="E791" s="192"/>
      <c r="F791" s="192"/>
      <c r="G791" s="192"/>
      <c r="H791" s="192"/>
      <c r="I791" s="192"/>
      <c r="J791" s="192"/>
    </row>
    <row r="792" ht="14.25" customHeight="1">
      <c r="A792" s="158"/>
      <c r="E792" s="192"/>
      <c r="F792" s="192"/>
      <c r="G792" s="192"/>
      <c r="H792" s="192"/>
      <c r="I792" s="192"/>
      <c r="J792" s="192"/>
    </row>
    <row r="793" ht="14.25" customHeight="1">
      <c r="A793" s="158"/>
      <c r="E793" s="192"/>
      <c r="F793" s="192"/>
      <c r="G793" s="192"/>
      <c r="H793" s="192"/>
      <c r="I793" s="192"/>
      <c r="J793" s="192"/>
    </row>
    <row r="794" ht="14.25" customHeight="1">
      <c r="A794" s="158"/>
      <c r="E794" s="192"/>
      <c r="F794" s="192"/>
      <c r="G794" s="192"/>
      <c r="H794" s="192"/>
      <c r="I794" s="192"/>
      <c r="J794" s="192"/>
    </row>
    <row r="795" ht="14.25" customHeight="1">
      <c r="A795" s="158"/>
      <c r="E795" s="192"/>
      <c r="F795" s="192"/>
      <c r="G795" s="192"/>
      <c r="H795" s="192"/>
      <c r="I795" s="192"/>
      <c r="J795" s="192"/>
    </row>
    <row r="796" ht="14.25" customHeight="1">
      <c r="A796" s="158"/>
      <c r="E796" s="192"/>
      <c r="F796" s="192"/>
      <c r="G796" s="192"/>
      <c r="H796" s="192"/>
      <c r="I796" s="192"/>
      <c r="J796" s="192"/>
    </row>
    <row r="797" ht="14.25" customHeight="1">
      <c r="A797" s="158"/>
      <c r="E797" s="192"/>
      <c r="F797" s="192"/>
      <c r="G797" s="192"/>
      <c r="H797" s="192"/>
      <c r="I797" s="192"/>
      <c r="J797" s="192"/>
    </row>
    <row r="798" ht="14.25" customHeight="1">
      <c r="A798" s="158"/>
      <c r="E798" s="192"/>
      <c r="F798" s="192"/>
      <c r="G798" s="192"/>
      <c r="H798" s="192"/>
      <c r="I798" s="192"/>
      <c r="J798" s="192"/>
    </row>
    <row r="799" ht="14.25" customHeight="1">
      <c r="A799" s="158"/>
      <c r="E799" s="192"/>
      <c r="F799" s="192"/>
      <c r="G799" s="192"/>
      <c r="H799" s="192"/>
      <c r="I799" s="192"/>
      <c r="J799" s="192"/>
    </row>
    <row r="800" ht="14.25" customHeight="1">
      <c r="A800" s="158"/>
      <c r="E800" s="192"/>
      <c r="F800" s="192"/>
      <c r="G800" s="192"/>
      <c r="H800" s="192"/>
      <c r="I800" s="192"/>
      <c r="J800" s="192"/>
    </row>
    <row r="801" ht="14.25" customHeight="1">
      <c r="A801" s="158"/>
      <c r="E801" s="192"/>
      <c r="F801" s="192"/>
      <c r="G801" s="192"/>
      <c r="H801" s="192"/>
      <c r="I801" s="192"/>
      <c r="J801" s="192"/>
    </row>
    <row r="802" ht="14.25" customHeight="1">
      <c r="A802" s="158"/>
      <c r="E802" s="192"/>
      <c r="F802" s="192"/>
      <c r="G802" s="192"/>
      <c r="H802" s="192"/>
      <c r="I802" s="192"/>
      <c r="J802" s="192"/>
    </row>
    <row r="803" ht="14.25" customHeight="1">
      <c r="A803" s="158"/>
      <c r="E803" s="192"/>
      <c r="F803" s="192"/>
      <c r="G803" s="192"/>
      <c r="H803" s="192"/>
      <c r="I803" s="192"/>
      <c r="J803" s="192"/>
    </row>
    <row r="804" ht="14.25" customHeight="1">
      <c r="A804" s="158"/>
      <c r="E804" s="192"/>
      <c r="F804" s="192"/>
      <c r="G804" s="192"/>
      <c r="H804" s="192"/>
      <c r="I804" s="192"/>
      <c r="J804" s="192"/>
    </row>
    <row r="805" ht="14.25" customHeight="1">
      <c r="A805" s="158"/>
      <c r="E805" s="192"/>
      <c r="F805" s="192"/>
      <c r="G805" s="192"/>
      <c r="H805" s="192"/>
      <c r="I805" s="192"/>
      <c r="J805" s="192"/>
    </row>
    <row r="806" ht="14.25" customHeight="1">
      <c r="A806" s="158"/>
      <c r="E806" s="192"/>
      <c r="F806" s="192"/>
      <c r="G806" s="192"/>
      <c r="H806" s="192"/>
      <c r="I806" s="192"/>
      <c r="J806" s="192"/>
    </row>
    <row r="807" ht="14.25" customHeight="1">
      <c r="A807" s="158"/>
      <c r="E807" s="192"/>
      <c r="F807" s="192"/>
      <c r="G807" s="192"/>
      <c r="H807" s="192"/>
      <c r="I807" s="192"/>
      <c r="J807" s="192"/>
    </row>
    <row r="808" ht="14.25" customHeight="1">
      <c r="A808" s="158"/>
      <c r="E808" s="192"/>
      <c r="F808" s="192"/>
      <c r="G808" s="192"/>
      <c r="H808" s="192"/>
      <c r="I808" s="192"/>
      <c r="J808" s="192"/>
    </row>
    <row r="809" ht="14.25" customHeight="1">
      <c r="A809" s="158"/>
      <c r="E809" s="192"/>
      <c r="F809" s="192"/>
      <c r="G809" s="192"/>
      <c r="H809" s="192"/>
      <c r="I809" s="192"/>
      <c r="J809" s="192"/>
    </row>
    <row r="810" ht="14.25" customHeight="1">
      <c r="A810" s="158"/>
      <c r="E810" s="192"/>
      <c r="F810" s="192"/>
      <c r="G810" s="192"/>
      <c r="H810" s="192"/>
      <c r="I810" s="192"/>
      <c r="J810" s="192"/>
    </row>
    <row r="811" ht="14.25" customHeight="1">
      <c r="A811" s="158"/>
      <c r="E811" s="192"/>
      <c r="F811" s="192"/>
      <c r="G811" s="192"/>
      <c r="H811" s="192"/>
      <c r="I811" s="192"/>
      <c r="J811" s="192"/>
    </row>
    <row r="812" ht="14.25" customHeight="1">
      <c r="A812" s="158"/>
      <c r="E812" s="192"/>
      <c r="F812" s="192"/>
      <c r="G812" s="192"/>
      <c r="H812" s="192"/>
      <c r="I812" s="192"/>
      <c r="J812" s="192"/>
    </row>
    <row r="813" ht="14.25" customHeight="1">
      <c r="A813" s="158"/>
      <c r="E813" s="192"/>
      <c r="F813" s="192"/>
      <c r="G813" s="192"/>
      <c r="H813" s="192"/>
      <c r="I813" s="192"/>
      <c r="J813" s="192"/>
    </row>
    <row r="814" ht="14.25" customHeight="1">
      <c r="A814" s="158"/>
      <c r="E814" s="192"/>
      <c r="F814" s="192"/>
      <c r="G814" s="192"/>
      <c r="H814" s="192"/>
      <c r="I814" s="192"/>
      <c r="J814" s="192"/>
    </row>
    <row r="815" ht="14.25" customHeight="1">
      <c r="A815" s="158"/>
      <c r="E815" s="192"/>
      <c r="F815" s="192"/>
      <c r="G815" s="192"/>
      <c r="H815" s="192"/>
      <c r="I815" s="192"/>
      <c r="J815" s="192"/>
    </row>
    <row r="816" ht="14.25" customHeight="1">
      <c r="A816" s="158"/>
      <c r="E816" s="192"/>
      <c r="F816" s="192"/>
      <c r="G816" s="192"/>
      <c r="H816" s="192"/>
      <c r="I816" s="192"/>
      <c r="J816" s="192"/>
    </row>
    <row r="817" ht="14.25" customHeight="1">
      <c r="A817" s="158"/>
      <c r="E817" s="192"/>
      <c r="F817" s="192"/>
      <c r="G817" s="192"/>
      <c r="H817" s="192"/>
      <c r="I817" s="192"/>
      <c r="J817" s="192"/>
    </row>
    <row r="818" ht="14.25" customHeight="1">
      <c r="A818" s="158"/>
      <c r="E818" s="192"/>
      <c r="F818" s="192"/>
      <c r="G818" s="192"/>
      <c r="H818" s="192"/>
      <c r="I818" s="192"/>
      <c r="J818" s="192"/>
    </row>
    <row r="819" ht="14.25" customHeight="1">
      <c r="A819" s="158"/>
      <c r="E819" s="192"/>
      <c r="F819" s="192"/>
      <c r="G819" s="192"/>
      <c r="H819" s="192"/>
      <c r="I819" s="192"/>
      <c r="J819" s="192"/>
    </row>
    <row r="820" ht="14.25" customHeight="1">
      <c r="A820" s="158"/>
      <c r="E820" s="192"/>
      <c r="F820" s="192"/>
      <c r="G820" s="192"/>
      <c r="H820" s="192"/>
      <c r="I820" s="192"/>
      <c r="J820" s="192"/>
    </row>
    <row r="821" ht="14.25" customHeight="1">
      <c r="A821" s="158"/>
      <c r="E821" s="192"/>
      <c r="F821" s="192"/>
      <c r="G821" s="192"/>
      <c r="H821" s="192"/>
      <c r="I821" s="192"/>
      <c r="J821" s="192"/>
    </row>
    <row r="822" ht="14.25" customHeight="1">
      <c r="A822" s="158"/>
      <c r="E822" s="192"/>
      <c r="F822" s="192"/>
      <c r="G822" s="192"/>
      <c r="H822" s="192"/>
      <c r="I822" s="192"/>
      <c r="J822" s="192"/>
    </row>
    <row r="823" ht="14.25" customHeight="1">
      <c r="A823" s="158"/>
      <c r="E823" s="192"/>
      <c r="F823" s="192"/>
      <c r="G823" s="192"/>
      <c r="H823" s="192"/>
      <c r="I823" s="192"/>
      <c r="J823" s="192"/>
    </row>
    <row r="824" ht="14.25" customHeight="1">
      <c r="A824" s="158"/>
      <c r="E824" s="192"/>
      <c r="F824" s="192"/>
      <c r="G824" s="192"/>
      <c r="H824" s="192"/>
      <c r="I824" s="192"/>
      <c r="J824" s="192"/>
    </row>
    <row r="825" ht="14.25" customHeight="1">
      <c r="A825" s="158"/>
      <c r="E825" s="192"/>
      <c r="F825" s="192"/>
      <c r="G825" s="192"/>
      <c r="H825" s="192"/>
      <c r="I825" s="192"/>
      <c r="J825" s="192"/>
    </row>
    <row r="826" ht="14.25" customHeight="1">
      <c r="A826" s="158"/>
      <c r="E826" s="192"/>
      <c r="F826" s="192"/>
      <c r="G826" s="192"/>
      <c r="H826" s="192"/>
      <c r="I826" s="192"/>
      <c r="J826" s="192"/>
    </row>
    <row r="827" ht="14.25" customHeight="1">
      <c r="A827" s="158"/>
      <c r="E827" s="192"/>
      <c r="F827" s="192"/>
      <c r="G827" s="192"/>
      <c r="H827" s="192"/>
      <c r="I827" s="192"/>
      <c r="J827" s="192"/>
    </row>
    <row r="828" ht="14.25" customHeight="1">
      <c r="A828" s="158"/>
      <c r="E828" s="192"/>
      <c r="F828" s="192"/>
      <c r="G828" s="192"/>
      <c r="H828" s="192"/>
      <c r="I828" s="192"/>
      <c r="J828" s="192"/>
    </row>
    <row r="829" ht="14.25" customHeight="1">
      <c r="A829" s="158"/>
      <c r="E829" s="192"/>
      <c r="F829" s="192"/>
      <c r="G829" s="192"/>
      <c r="H829" s="192"/>
      <c r="I829" s="192"/>
      <c r="J829" s="192"/>
    </row>
    <row r="830" ht="14.25" customHeight="1">
      <c r="A830" s="158"/>
      <c r="E830" s="192"/>
      <c r="F830" s="192"/>
      <c r="G830" s="192"/>
      <c r="H830" s="192"/>
      <c r="I830" s="192"/>
      <c r="J830" s="192"/>
    </row>
    <row r="831" ht="14.25" customHeight="1">
      <c r="A831" s="158"/>
      <c r="E831" s="192"/>
      <c r="F831" s="192"/>
      <c r="G831" s="192"/>
      <c r="H831" s="192"/>
      <c r="I831" s="192"/>
      <c r="J831" s="192"/>
    </row>
    <row r="832" ht="14.25" customHeight="1">
      <c r="A832" s="158"/>
      <c r="E832" s="192"/>
      <c r="F832" s="192"/>
      <c r="G832" s="192"/>
      <c r="H832" s="192"/>
      <c r="I832" s="192"/>
      <c r="J832" s="192"/>
    </row>
    <row r="833" ht="14.25" customHeight="1">
      <c r="A833" s="158"/>
      <c r="E833" s="192"/>
      <c r="F833" s="192"/>
      <c r="G833" s="192"/>
      <c r="H833" s="192"/>
      <c r="I833" s="192"/>
      <c r="J833" s="192"/>
    </row>
    <row r="834" ht="14.25" customHeight="1">
      <c r="A834" s="158"/>
      <c r="E834" s="192"/>
      <c r="F834" s="192"/>
      <c r="G834" s="192"/>
      <c r="H834" s="192"/>
      <c r="I834" s="192"/>
      <c r="J834" s="192"/>
    </row>
    <row r="835" ht="14.25" customHeight="1">
      <c r="A835" s="158"/>
      <c r="E835" s="192"/>
      <c r="F835" s="192"/>
      <c r="G835" s="192"/>
      <c r="H835" s="192"/>
      <c r="I835" s="192"/>
      <c r="J835" s="192"/>
    </row>
    <row r="836" ht="14.25" customHeight="1">
      <c r="A836" s="158"/>
      <c r="E836" s="192"/>
      <c r="F836" s="192"/>
      <c r="G836" s="192"/>
      <c r="H836" s="192"/>
      <c r="I836" s="192"/>
      <c r="J836" s="192"/>
    </row>
    <row r="837" ht="14.25" customHeight="1">
      <c r="A837" s="158"/>
      <c r="E837" s="192"/>
      <c r="F837" s="192"/>
      <c r="G837" s="192"/>
      <c r="H837" s="192"/>
      <c r="I837" s="192"/>
      <c r="J837" s="192"/>
    </row>
    <row r="838" ht="14.25" customHeight="1">
      <c r="A838" s="158"/>
      <c r="E838" s="192"/>
      <c r="F838" s="192"/>
      <c r="G838" s="192"/>
      <c r="H838" s="192"/>
      <c r="I838" s="192"/>
      <c r="J838" s="192"/>
    </row>
    <row r="839" ht="14.25" customHeight="1">
      <c r="A839" s="158"/>
      <c r="E839" s="192"/>
      <c r="F839" s="192"/>
      <c r="G839" s="192"/>
      <c r="H839" s="192"/>
      <c r="I839" s="192"/>
      <c r="J839" s="192"/>
    </row>
    <row r="840" ht="14.25" customHeight="1">
      <c r="A840" s="158"/>
      <c r="E840" s="192"/>
      <c r="F840" s="192"/>
      <c r="G840" s="192"/>
      <c r="H840" s="192"/>
      <c r="I840" s="192"/>
      <c r="J840" s="192"/>
    </row>
    <row r="841" ht="14.25" customHeight="1">
      <c r="A841" s="158"/>
      <c r="E841" s="192"/>
      <c r="F841" s="192"/>
      <c r="G841" s="192"/>
      <c r="H841" s="192"/>
      <c r="I841" s="192"/>
      <c r="J841" s="192"/>
    </row>
    <row r="842" ht="14.25" customHeight="1">
      <c r="A842" s="158"/>
      <c r="E842" s="192"/>
      <c r="F842" s="192"/>
      <c r="G842" s="192"/>
      <c r="H842" s="192"/>
      <c r="I842" s="192"/>
      <c r="J842" s="192"/>
    </row>
    <row r="843" ht="14.25" customHeight="1">
      <c r="A843" s="158"/>
      <c r="E843" s="192"/>
      <c r="F843" s="192"/>
      <c r="G843" s="192"/>
      <c r="H843" s="192"/>
      <c r="I843" s="192"/>
      <c r="J843" s="192"/>
    </row>
    <row r="844" ht="14.25" customHeight="1">
      <c r="A844" s="158"/>
      <c r="E844" s="192"/>
      <c r="F844" s="192"/>
      <c r="G844" s="192"/>
      <c r="H844" s="192"/>
      <c r="I844" s="192"/>
      <c r="J844" s="192"/>
    </row>
    <row r="845" ht="14.25" customHeight="1">
      <c r="A845" s="158"/>
      <c r="E845" s="192"/>
      <c r="F845" s="192"/>
      <c r="G845" s="192"/>
      <c r="H845" s="192"/>
      <c r="I845" s="192"/>
      <c r="J845" s="192"/>
    </row>
    <row r="846" ht="14.25" customHeight="1">
      <c r="A846" s="158"/>
      <c r="E846" s="192"/>
      <c r="F846" s="192"/>
      <c r="G846" s="192"/>
      <c r="H846" s="192"/>
      <c r="I846" s="192"/>
      <c r="J846" s="192"/>
    </row>
    <row r="847" ht="14.25" customHeight="1">
      <c r="A847" s="158"/>
      <c r="E847" s="192"/>
      <c r="F847" s="192"/>
      <c r="G847" s="192"/>
      <c r="H847" s="192"/>
      <c r="I847" s="192"/>
      <c r="J847" s="192"/>
    </row>
    <row r="848" ht="14.25" customHeight="1">
      <c r="A848" s="158"/>
      <c r="E848" s="192"/>
      <c r="F848" s="192"/>
      <c r="G848" s="192"/>
      <c r="H848" s="192"/>
      <c r="I848" s="192"/>
      <c r="J848" s="192"/>
    </row>
    <row r="849" ht="14.25" customHeight="1">
      <c r="A849" s="158"/>
      <c r="E849" s="192"/>
      <c r="F849" s="192"/>
      <c r="G849" s="192"/>
      <c r="H849" s="192"/>
      <c r="I849" s="192"/>
      <c r="J849" s="192"/>
    </row>
    <row r="850" ht="14.25" customHeight="1">
      <c r="A850" s="158"/>
      <c r="E850" s="192"/>
      <c r="F850" s="192"/>
      <c r="G850" s="192"/>
      <c r="H850" s="192"/>
      <c r="I850" s="192"/>
      <c r="J850" s="192"/>
    </row>
    <row r="851" ht="14.25" customHeight="1">
      <c r="A851" s="158"/>
      <c r="E851" s="192"/>
      <c r="F851" s="192"/>
      <c r="G851" s="192"/>
      <c r="H851" s="192"/>
      <c r="I851" s="192"/>
      <c r="J851" s="192"/>
    </row>
    <row r="852" ht="14.25" customHeight="1">
      <c r="A852" s="158"/>
      <c r="E852" s="192"/>
      <c r="F852" s="192"/>
      <c r="G852" s="192"/>
      <c r="H852" s="192"/>
      <c r="I852" s="192"/>
      <c r="J852" s="192"/>
    </row>
    <row r="853" ht="14.25" customHeight="1">
      <c r="A853" s="158"/>
      <c r="E853" s="192"/>
      <c r="F853" s="192"/>
      <c r="G853" s="192"/>
      <c r="H853" s="192"/>
      <c r="I853" s="192"/>
      <c r="J853" s="192"/>
    </row>
    <row r="854" ht="14.25" customHeight="1">
      <c r="A854" s="158"/>
      <c r="E854" s="192"/>
      <c r="F854" s="192"/>
      <c r="G854" s="192"/>
      <c r="H854" s="192"/>
      <c r="I854" s="192"/>
      <c r="J854" s="192"/>
    </row>
    <row r="855" ht="14.25" customHeight="1">
      <c r="A855" s="158"/>
      <c r="E855" s="192"/>
      <c r="F855" s="192"/>
      <c r="G855" s="192"/>
      <c r="H855" s="192"/>
      <c r="I855" s="192"/>
      <c r="J855" s="192"/>
    </row>
    <row r="856" ht="14.25" customHeight="1">
      <c r="A856" s="158"/>
      <c r="E856" s="192"/>
      <c r="F856" s="192"/>
      <c r="G856" s="192"/>
      <c r="H856" s="192"/>
      <c r="I856" s="192"/>
      <c r="J856" s="192"/>
    </row>
    <row r="857" ht="14.25" customHeight="1">
      <c r="A857" s="158"/>
      <c r="E857" s="192"/>
      <c r="F857" s="192"/>
      <c r="G857" s="192"/>
      <c r="H857" s="192"/>
      <c r="I857" s="192"/>
      <c r="J857" s="192"/>
    </row>
    <row r="858" ht="14.25" customHeight="1">
      <c r="A858" s="158"/>
      <c r="E858" s="192"/>
      <c r="F858" s="192"/>
      <c r="G858" s="192"/>
      <c r="H858" s="192"/>
      <c r="I858" s="192"/>
      <c r="J858" s="192"/>
    </row>
    <row r="859" ht="14.25" customHeight="1">
      <c r="A859" s="158"/>
      <c r="E859" s="192"/>
      <c r="F859" s="192"/>
      <c r="G859" s="192"/>
      <c r="H859" s="192"/>
      <c r="I859" s="192"/>
      <c r="J859" s="192"/>
    </row>
    <row r="860" ht="14.25" customHeight="1">
      <c r="A860" s="158"/>
      <c r="E860" s="192"/>
      <c r="F860" s="192"/>
      <c r="G860" s="192"/>
      <c r="H860" s="192"/>
      <c r="I860" s="192"/>
      <c r="J860" s="192"/>
    </row>
    <row r="861" ht="14.25" customHeight="1">
      <c r="A861" s="158"/>
      <c r="E861" s="192"/>
      <c r="F861" s="192"/>
      <c r="G861" s="192"/>
      <c r="H861" s="192"/>
      <c r="I861" s="192"/>
      <c r="J861" s="192"/>
    </row>
    <row r="862" ht="14.25" customHeight="1">
      <c r="A862" s="158"/>
      <c r="E862" s="192"/>
      <c r="F862" s="192"/>
      <c r="G862" s="192"/>
      <c r="H862" s="192"/>
      <c r="I862" s="192"/>
      <c r="J862" s="192"/>
    </row>
    <row r="863" ht="14.25" customHeight="1">
      <c r="A863" s="158"/>
      <c r="E863" s="192"/>
      <c r="F863" s="192"/>
      <c r="G863" s="192"/>
      <c r="H863" s="192"/>
      <c r="I863" s="192"/>
      <c r="J863" s="192"/>
    </row>
    <row r="864" ht="14.25" customHeight="1">
      <c r="A864" s="158"/>
      <c r="E864" s="192"/>
      <c r="F864" s="192"/>
      <c r="G864" s="192"/>
      <c r="H864" s="192"/>
      <c r="I864" s="192"/>
      <c r="J864" s="192"/>
    </row>
    <row r="865" ht="14.25" customHeight="1">
      <c r="A865" s="158"/>
      <c r="E865" s="192"/>
      <c r="F865" s="192"/>
      <c r="G865" s="192"/>
      <c r="H865" s="192"/>
      <c r="I865" s="192"/>
      <c r="J865" s="192"/>
    </row>
    <row r="866" ht="14.25" customHeight="1">
      <c r="A866" s="158"/>
      <c r="E866" s="192"/>
      <c r="F866" s="192"/>
      <c r="G866" s="192"/>
      <c r="H866" s="192"/>
      <c r="I866" s="192"/>
      <c r="J866" s="192"/>
    </row>
    <row r="867" ht="14.25" customHeight="1">
      <c r="A867" s="158"/>
      <c r="E867" s="192"/>
      <c r="F867" s="192"/>
      <c r="G867" s="192"/>
      <c r="H867" s="192"/>
      <c r="I867" s="192"/>
      <c r="J867" s="192"/>
    </row>
    <row r="868" ht="14.25" customHeight="1">
      <c r="A868" s="158"/>
      <c r="E868" s="192"/>
      <c r="F868" s="192"/>
      <c r="G868" s="192"/>
      <c r="H868" s="192"/>
      <c r="I868" s="192"/>
      <c r="J868" s="192"/>
    </row>
    <row r="869" ht="14.25" customHeight="1">
      <c r="A869" s="158"/>
      <c r="E869" s="192"/>
      <c r="F869" s="192"/>
      <c r="G869" s="192"/>
      <c r="H869" s="192"/>
      <c r="I869" s="192"/>
      <c r="J869" s="192"/>
    </row>
    <row r="870" ht="14.25" customHeight="1">
      <c r="A870" s="158"/>
      <c r="E870" s="192"/>
      <c r="F870" s="192"/>
      <c r="G870" s="192"/>
      <c r="H870" s="192"/>
      <c r="I870" s="192"/>
      <c r="J870" s="192"/>
    </row>
    <row r="871" ht="14.25" customHeight="1">
      <c r="A871" s="158"/>
      <c r="E871" s="192"/>
      <c r="F871" s="192"/>
      <c r="G871" s="192"/>
      <c r="H871" s="192"/>
      <c r="I871" s="192"/>
      <c r="J871" s="192"/>
    </row>
    <row r="872" ht="14.25" customHeight="1">
      <c r="A872" s="158"/>
      <c r="E872" s="192"/>
      <c r="F872" s="192"/>
      <c r="G872" s="192"/>
      <c r="H872" s="192"/>
      <c r="I872" s="192"/>
      <c r="J872" s="192"/>
    </row>
    <row r="873" ht="14.25" customHeight="1">
      <c r="A873" s="158"/>
      <c r="E873" s="192"/>
      <c r="F873" s="192"/>
      <c r="G873" s="192"/>
      <c r="H873" s="192"/>
      <c r="I873" s="192"/>
      <c r="J873" s="192"/>
    </row>
    <row r="874" ht="14.25" customHeight="1">
      <c r="A874" s="158"/>
      <c r="E874" s="192"/>
      <c r="F874" s="192"/>
      <c r="G874" s="192"/>
      <c r="H874" s="192"/>
      <c r="I874" s="192"/>
      <c r="J874" s="192"/>
    </row>
    <row r="875" ht="14.25" customHeight="1">
      <c r="A875" s="158"/>
      <c r="E875" s="192"/>
      <c r="F875" s="192"/>
      <c r="G875" s="192"/>
      <c r="H875" s="192"/>
      <c r="I875" s="192"/>
      <c r="J875" s="192"/>
    </row>
    <row r="876" ht="14.25" customHeight="1">
      <c r="A876" s="158"/>
      <c r="E876" s="192"/>
      <c r="F876" s="192"/>
      <c r="G876" s="192"/>
      <c r="H876" s="192"/>
      <c r="I876" s="192"/>
      <c r="J876" s="192"/>
    </row>
    <row r="877" ht="14.25" customHeight="1">
      <c r="A877" s="158"/>
      <c r="E877" s="192"/>
      <c r="F877" s="192"/>
      <c r="G877" s="192"/>
      <c r="H877" s="192"/>
      <c r="I877" s="192"/>
      <c r="J877" s="192"/>
    </row>
    <row r="878" ht="14.25" customHeight="1">
      <c r="A878" s="158"/>
      <c r="E878" s="192"/>
      <c r="F878" s="192"/>
      <c r="G878" s="192"/>
      <c r="H878" s="192"/>
      <c r="I878" s="192"/>
      <c r="J878" s="192"/>
    </row>
    <row r="879" ht="14.25" customHeight="1">
      <c r="A879" s="158"/>
      <c r="E879" s="192"/>
      <c r="F879" s="192"/>
      <c r="G879" s="192"/>
      <c r="H879" s="192"/>
      <c r="I879" s="192"/>
      <c r="J879" s="192"/>
    </row>
    <row r="880" ht="14.25" customHeight="1">
      <c r="A880" s="158"/>
      <c r="E880" s="192"/>
      <c r="F880" s="192"/>
      <c r="G880" s="192"/>
      <c r="H880" s="192"/>
      <c r="I880" s="192"/>
      <c r="J880" s="192"/>
    </row>
    <row r="881" ht="14.25" customHeight="1">
      <c r="A881" s="158"/>
      <c r="E881" s="192"/>
      <c r="F881" s="192"/>
      <c r="G881" s="192"/>
      <c r="H881" s="192"/>
      <c r="I881" s="192"/>
      <c r="J881" s="192"/>
    </row>
    <row r="882" ht="14.25" customHeight="1">
      <c r="A882" s="158"/>
      <c r="E882" s="192"/>
      <c r="F882" s="192"/>
      <c r="G882" s="192"/>
      <c r="H882" s="192"/>
      <c r="I882" s="192"/>
      <c r="J882" s="192"/>
    </row>
    <row r="883" ht="14.25" customHeight="1">
      <c r="A883" s="158"/>
      <c r="E883" s="192"/>
      <c r="F883" s="192"/>
      <c r="G883" s="192"/>
      <c r="H883" s="192"/>
      <c r="I883" s="192"/>
      <c r="J883" s="192"/>
    </row>
    <row r="884" ht="14.25" customHeight="1">
      <c r="A884" s="158"/>
      <c r="E884" s="192"/>
      <c r="F884" s="192"/>
      <c r="G884" s="192"/>
      <c r="H884" s="192"/>
      <c r="I884" s="192"/>
      <c r="J884" s="192"/>
    </row>
    <row r="885" ht="14.25" customHeight="1">
      <c r="A885" s="158"/>
      <c r="E885" s="192"/>
      <c r="F885" s="192"/>
      <c r="G885" s="192"/>
      <c r="H885" s="192"/>
      <c r="I885" s="192"/>
      <c r="J885" s="192"/>
    </row>
    <row r="886" ht="14.25" customHeight="1">
      <c r="A886" s="158"/>
      <c r="E886" s="192"/>
      <c r="F886" s="192"/>
      <c r="G886" s="192"/>
      <c r="H886" s="192"/>
      <c r="I886" s="192"/>
      <c r="J886" s="192"/>
    </row>
    <row r="887" ht="14.25" customHeight="1">
      <c r="A887" s="158"/>
      <c r="E887" s="192"/>
      <c r="F887" s="192"/>
      <c r="G887" s="192"/>
      <c r="H887" s="192"/>
      <c r="I887" s="192"/>
      <c r="J887" s="192"/>
    </row>
    <row r="888" ht="14.25" customHeight="1">
      <c r="A888" s="158"/>
      <c r="E888" s="192"/>
      <c r="F888" s="192"/>
      <c r="G888" s="192"/>
      <c r="H888" s="192"/>
      <c r="I888" s="192"/>
      <c r="J888" s="192"/>
    </row>
    <row r="889" ht="14.25" customHeight="1">
      <c r="A889" s="158"/>
      <c r="E889" s="192"/>
      <c r="F889" s="192"/>
      <c r="G889" s="192"/>
      <c r="H889" s="192"/>
      <c r="I889" s="192"/>
      <c r="J889" s="192"/>
    </row>
    <row r="890" ht="14.25" customHeight="1">
      <c r="A890" s="158"/>
      <c r="E890" s="192"/>
      <c r="F890" s="192"/>
      <c r="G890" s="192"/>
      <c r="H890" s="192"/>
      <c r="I890" s="192"/>
      <c r="J890" s="192"/>
    </row>
    <row r="891" ht="14.25" customHeight="1">
      <c r="A891" s="158"/>
      <c r="E891" s="192"/>
      <c r="F891" s="192"/>
      <c r="G891" s="192"/>
      <c r="H891" s="192"/>
      <c r="I891" s="192"/>
      <c r="J891" s="192"/>
    </row>
    <row r="892" ht="14.25" customHeight="1">
      <c r="A892" s="158"/>
      <c r="E892" s="192"/>
      <c r="F892" s="192"/>
      <c r="G892" s="192"/>
      <c r="H892" s="192"/>
      <c r="I892" s="192"/>
      <c r="J892" s="192"/>
    </row>
    <row r="893" ht="14.25" customHeight="1">
      <c r="A893" s="158"/>
      <c r="E893" s="192"/>
      <c r="F893" s="192"/>
      <c r="G893" s="192"/>
      <c r="H893" s="192"/>
      <c r="I893" s="192"/>
      <c r="J893" s="192"/>
    </row>
    <row r="894" ht="14.25" customHeight="1">
      <c r="A894" s="158"/>
      <c r="E894" s="192"/>
      <c r="F894" s="192"/>
      <c r="G894" s="192"/>
      <c r="H894" s="192"/>
      <c r="I894" s="192"/>
      <c r="J894" s="192"/>
    </row>
    <row r="895" ht="14.25" customHeight="1">
      <c r="A895" s="158"/>
      <c r="E895" s="192"/>
      <c r="F895" s="192"/>
      <c r="G895" s="192"/>
      <c r="H895" s="192"/>
      <c r="I895" s="192"/>
      <c r="J895" s="192"/>
    </row>
    <row r="896" ht="14.25" customHeight="1">
      <c r="A896" s="158"/>
      <c r="E896" s="192"/>
      <c r="F896" s="192"/>
      <c r="G896" s="192"/>
      <c r="H896" s="192"/>
      <c r="I896" s="192"/>
      <c r="J896" s="192"/>
    </row>
    <row r="897" ht="14.25" customHeight="1">
      <c r="A897" s="158"/>
      <c r="E897" s="192"/>
      <c r="F897" s="192"/>
      <c r="G897" s="192"/>
      <c r="H897" s="192"/>
      <c r="I897" s="192"/>
      <c r="J897" s="192"/>
    </row>
    <row r="898" ht="14.25" customHeight="1">
      <c r="A898" s="158"/>
      <c r="E898" s="192"/>
      <c r="F898" s="192"/>
      <c r="G898" s="192"/>
      <c r="H898" s="192"/>
      <c r="I898" s="192"/>
      <c r="J898" s="192"/>
    </row>
    <row r="899" ht="14.25" customHeight="1">
      <c r="A899" s="158"/>
      <c r="E899" s="192"/>
      <c r="F899" s="192"/>
      <c r="G899" s="192"/>
      <c r="H899" s="192"/>
      <c r="I899" s="192"/>
      <c r="J899" s="192"/>
    </row>
    <row r="900" ht="14.25" customHeight="1">
      <c r="A900" s="158"/>
      <c r="E900" s="192"/>
      <c r="F900" s="192"/>
      <c r="G900" s="192"/>
      <c r="H900" s="192"/>
      <c r="I900" s="192"/>
      <c r="J900" s="192"/>
    </row>
    <row r="901" ht="14.25" customHeight="1">
      <c r="A901" s="158"/>
      <c r="E901" s="192"/>
      <c r="F901" s="192"/>
      <c r="G901" s="192"/>
      <c r="H901" s="192"/>
      <c r="I901" s="192"/>
      <c r="J901" s="192"/>
    </row>
    <row r="902" ht="14.25" customHeight="1">
      <c r="A902" s="158"/>
      <c r="E902" s="192"/>
      <c r="F902" s="192"/>
      <c r="G902" s="192"/>
      <c r="H902" s="192"/>
      <c r="I902" s="192"/>
      <c r="J902" s="192"/>
    </row>
    <row r="903" ht="14.25" customHeight="1">
      <c r="A903" s="158"/>
      <c r="E903" s="192"/>
      <c r="F903" s="192"/>
      <c r="G903" s="192"/>
      <c r="H903" s="192"/>
      <c r="I903" s="192"/>
      <c r="J903" s="192"/>
    </row>
    <row r="904" ht="14.25" customHeight="1">
      <c r="A904" s="158"/>
      <c r="E904" s="192"/>
      <c r="F904" s="192"/>
      <c r="G904" s="192"/>
      <c r="H904" s="192"/>
      <c r="I904" s="192"/>
      <c r="J904" s="192"/>
    </row>
    <row r="905" ht="14.25" customHeight="1">
      <c r="A905" s="158"/>
      <c r="E905" s="192"/>
      <c r="F905" s="192"/>
      <c r="G905" s="192"/>
      <c r="H905" s="192"/>
      <c r="I905" s="192"/>
      <c r="J905" s="192"/>
    </row>
    <row r="906" ht="14.25" customHeight="1">
      <c r="A906" s="158"/>
      <c r="E906" s="192"/>
      <c r="F906" s="192"/>
      <c r="G906" s="192"/>
      <c r="H906" s="192"/>
      <c r="I906" s="192"/>
      <c r="J906" s="192"/>
    </row>
    <row r="907" ht="14.25" customHeight="1">
      <c r="A907" s="158"/>
      <c r="E907" s="192"/>
      <c r="F907" s="192"/>
      <c r="G907" s="192"/>
      <c r="H907" s="192"/>
      <c r="I907" s="192"/>
      <c r="J907" s="192"/>
    </row>
    <row r="908" ht="14.25" customHeight="1">
      <c r="A908" s="158"/>
      <c r="E908" s="192"/>
      <c r="F908" s="192"/>
      <c r="G908" s="192"/>
      <c r="H908" s="192"/>
      <c r="I908" s="192"/>
      <c r="J908" s="192"/>
    </row>
    <row r="909" ht="14.25" customHeight="1">
      <c r="A909" s="158"/>
      <c r="E909" s="192"/>
      <c r="F909" s="192"/>
      <c r="G909" s="192"/>
      <c r="H909" s="192"/>
      <c r="I909" s="192"/>
      <c r="J909" s="192"/>
    </row>
    <row r="910" ht="14.25" customHeight="1">
      <c r="A910" s="158"/>
      <c r="E910" s="192"/>
      <c r="F910" s="192"/>
      <c r="G910" s="192"/>
      <c r="H910" s="192"/>
      <c r="I910" s="192"/>
      <c r="J910" s="192"/>
    </row>
    <row r="911" ht="14.25" customHeight="1">
      <c r="A911" s="158"/>
      <c r="E911" s="192"/>
      <c r="F911" s="192"/>
      <c r="G911" s="192"/>
      <c r="H911" s="192"/>
      <c r="I911" s="192"/>
      <c r="J911" s="192"/>
    </row>
    <row r="912" ht="14.25" customHeight="1">
      <c r="A912" s="158"/>
      <c r="E912" s="192"/>
      <c r="F912" s="192"/>
      <c r="G912" s="192"/>
      <c r="H912" s="192"/>
      <c r="I912" s="192"/>
      <c r="J912" s="192"/>
    </row>
    <row r="913" ht="14.25" customHeight="1">
      <c r="A913" s="158"/>
      <c r="E913" s="192"/>
      <c r="F913" s="192"/>
      <c r="G913" s="192"/>
      <c r="H913" s="192"/>
      <c r="I913" s="192"/>
      <c r="J913" s="192"/>
    </row>
    <row r="914" ht="14.25" customHeight="1">
      <c r="A914" s="158"/>
      <c r="E914" s="192"/>
      <c r="F914" s="192"/>
      <c r="G914" s="192"/>
      <c r="H914" s="192"/>
      <c r="I914" s="192"/>
      <c r="J914" s="192"/>
    </row>
    <row r="915" ht="14.25" customHeight="1">
      <c r="A915" s="158"/>
      <c r="E915" s="192"/>
      <c r="F915" s="192"/>
      <c r="G915" s="192"/>
      <c r="H915" s="192"/>
      <c r="I915" s="192"/>
      <c r="J915" s="192"/>
    </row>
    <row r="916" ht="14.25" customHeight="1">
      <c r="A916" s="158"/>
      <c r="E916" s="192"/>
      <c r="F916" s="192"/>
      <c r="G916" s="192"/>
      <c r="H916" s="192"/>
      <c r="I916" s="192"/>
      <c r="J916" s="192"/>
    </row>
    <row r="917" ht="14.25" customHeight="1">
      <c r="A917" s="158"/>
      <c r="E917" s="192"/>
      <c r="F917" s="192"/>
      <c r="G917" s="192"/>
      <c r="H917" s="192"/>
      <c r="I917" s="192"/>
      <c r="J917" s="192"/>
    </row>
    <row r="918" ht="14.25" customHeight="1">
      <c r="A918" s="158"/>
      <c r="E918" s="192"/>
      <c r="F918" s="192"/>
      <c r="G918" s="192"/>
      <c r="H918" s="192"/>
      <c r="I918" s="192"/>
      <c r="J918" s="192"/>
    </row>
    <row r="919" ht="14.25" customHeight="1">
      <c r="A919" s="158"/>
      <c r="E919" s="192"/>
      <c r="F919" s="192"/>
      <c r="G919" s="192"/>
      <c r="H919" s="192"/>
      <c r="I919" s="192"/>
      <c r="J919" s="192"/>
    </row>
    <row r="920" ht="14.25" customHeight="1">
      <c r="A920" s="158"/>
      <c r="E920" s="192"/>
      <c r="F920" s="192"/>
      <c r="G920" s="192"/>
      <c r="H920" s="192"/>
      <c r="I920" s="192"/>
      <c r="J920" s="192"/>
    </row>
    <row r="921" ht="14.25" customHeight="1">
      <c r="A921" s="158"/>
      <c r="E921" s="192"/>
      <c r="F921" s="192"/>
      <c r="G921" s="192"/>
      <c r="H921" s="192"/>
      <c r="I921" s="192"/>
      <c r="J921" s="192"/>
    </row>
    <row r="922" ht="14.25" customHeight="1">
      <c r="A922" s="158"/>
      <c r="E922" s="192"/>
      <c r="F922" s="192"/>
      <c r="G922" s="192"/>
      <c r="H922" s="192"/>
      <c r="I922" s="192"/>
      <c r="J922" s="192"/>
    </row>
    <row r="923" ht="14.25" customHeight="1">
      <c r="A923" s="158"/>
      <c r="E923" s="192"/>
      <c r="F923" s="192"/>
      <c r="G923" s="192"/>
      <c r="H923" s="192"/>
      <c r="I923" s="192"/>
      <c r="J923" s="192"/>
    </row>
    <row r="924" ht="14.25" customHeight="1">
      <c r="A924" s="158"/>
      <c r="E924" s="192"/>
      <c r="F924" s="192"/>
      <c r="G924" s="192"/>
      <c r="H924" s="192"/>
      <c r="I924" s="192"/>
      <c r="J924" s="192"/>
    </row>
    <row r="925" ht="14.25" customHeight="1">
      <c r="A925" s="158"/>
      <c r="E925" s="192"/>
      <c r="F925" s="192"/>
      <c r="G925" s="192"/>
      <c r="H925" s="192"/>
      <c r="I925" s="192"/>
      <c r="J925" s="192"/>
    </row>
    <row r="926" ht="14.25" customHeight="1">
      <c r="A926" s="158"/>
      <c r="E926" s="192"/>
      <c r="F926" s="192"/>
      <c r="G926" s="192"/>
      <c r="H926" s="192"/>
      <c r="I926" s="192"/>
      <c r="J926" s="192"/>
    </row>
    <row r="927" ht="14.25" customHeight="1">
      <c r="A927" s="158"/>
      <c r="E927" s="192"/>
      <c r="F927" s="192"/>
      <c r="G927" s="192"/>
      <c r="H927" s="192"/>
      <c r="I927" s="192"/>
      <c r="J927" s="192"/>
    </row>
    <row r="928" ht="14.25" customHeight="1">
      <c r="A928" s="158"/>
      <c r="E928" s="192"/>
      <c r="F928" s="192"/>
      <c r="G928" s="192"/>
      <c r="H928" s="192"/>
      <c r="I928" s="192"/>
      <c r="J928" s="192"/>
    </row>
    <row r="929" ht="14.25" customHeight="1">
      <c r="A929" s="158"/>
      <c r="E929" s="192"/>
      <c r="F929" s="192"/>
      <c r="G929" s="192"/>
      <c r="H929" s="192"/>
      <c r="I929" s="192"/>
      <c r="J929" s="192"/>
    </row>
    <row r="930" ht="14.25" customHeight="1">
      <c r="A930" s="158"/>
      <c r="E930" s="192"/>
      <c r="F930" s="192"/>
      <c r="G930" s="192"/>
      <c r="H930" s="192"/>
      <c r="I930" s="192"/>
      <c r="J930" s="192"/>
    </row>
    <row r="931" ht="14.25" customHeight="1">
      <c r="A931" s="158"/>
      <c r="E931" s="192"/>
      <c r="F931" s="192"/>
      <c r="G931" s="192"/>
      <c r="H931" s="192"/>
      <c r="I931" s="192"/>
      <c r="J931" s="192"/>
    </row>
    <row r="932" ht="14.25" customHeight="1">
      <c r="A932" s="158"/>
      <c r="E932" s="192"/>
      <c r="F932" s="192"/>
      <c r="G932" s="192"/>
      <c r="H932" s="192"/>
      <c r="I932" s="192"/>
      <c r="J932" s="192"/>
    </row>
    <row r="933" ht="14.25" customHeight="1">
      <c r="A933" s="158"/>
      <c r="E933" s="192"/>
      <c r="F933" s="192"/>
      <c r="G933" s="192"/>
      <c r="H933" s="192"/>
      <c r="I933" s="192"/>
      <c r="J933" s="192"/>
    </row>
    <row r="934" ht="14.25" customHeight="1">
      <c r="A934" s="158"/>
      <c r="E934" s="192"/>
      <c r="F934" s="192"/>
      <c r="G934" s="192"/>
      <c r="H934" s="192"/>
      <c r="I934" s="192"/>
      <c r="J934" s="192"/>
    </row>
    <row r="935" ht="14.25" customHeight="1">
      <c r="A935" s="158"/>
      <c r="E935" s="192"/>
      <c r="F935" s="192"/>
      <c r="G935" s="192"/>
      <c r="H935" s="192"/>
      <c r="I935" s="192"/>
      <c r="J935" s="192"/>
    </row>
    <row r="936" ht="14.25" customHeight="1">
      <c r="A936" s="158"/>
      <c r="E936" s="192"/>
      <c r="F936" s="192"/>
      <c r="G936" s="192"/>
      <c r="H936" s="192"/>
      <c r="I936" s="192"/>
      <c r="J936" s="192"/>
    </row>
    <row r="937" ht="14.25" customHeight="1">
      <c r="A937" s="158"/>
      <c r="E937" s="192"/>
      <c r="F937" s="192"/>
      <c r="G937" s="192"/>
      <c r="H937" s="192"/>
      <c r="I937" s="192"/>
      <c r="J937" s="192"/>
    </row>
    <row r="938" ht="14.25" customHeight="1">
      <c r="A938" s="158"/>
      <c r="E938" s="192"/>
      <c r="F938" s="192"/>
      <c r="G938" s="192"/>
      <c r="H938" s="192"/>
      <c r="I938" s="192"/>
      <c r="J938" s="192"/>
    </row>
    <row r="939" ht="14.25" customHeight="1">
      <c r="A939" s="158"/>
      <c r="E939" s="192"/>
      <c r="F939" s="192"/>
      <c r="G939" s="192"/>
      <c r="H939" s="192"/>
      <c r="I939" s="192"/>
      <c r="J939" s="192"/>
    </row>
    <row r="940" ht="14.25" customHeight="1">
      <c r="A940" s="158"/>
      <c r="E940" s="192"/>
      <c r="F940" s="192"/>
      <c r="G940" s="192"/>
      <c r="H940" s="192"/>
      <c r="I940" s="192"/>
      <c r="J940" s="192"/>
    </row>
    <row r="941" ht="14.25" customHeight="1">
      <c r="A941" s="158"/>
      <c r="E941" s="192"/>
      <c r="F941" s="192"/>
      <c r="G941" s="192"/>
      <c r="H941" s="192"/>
      <c r="I941" s="192"/>
      <c r="J941" s="192"/>
    </row>
    <row r="942" ht="14.25" customHeight="1">
      <c r="A942" s="158"/>
      <c r="E942" s="192"/>
      <c r="F942" s="192"/>
      <c r="G942" s="192"/>
      <c r="H942" s="192"/>
      <c r="I942" s="192"/>
      <c r="J942" s="192"/>
    </row>
    <row r="943" ht="14.25" customHeight="1">
      <c r="A943" s="158"/>
      <c r="E943" s="192"/>
      <c r="F943" s="192"/>
      <c r="G943" s="192"/>
      <c r="H943" s="192"/>
      <c r="I943" s="192"/>
      <c r="J943" s="192"/>
    </row>
    <row r="944" ht="14.25" customHeight="1">
      <c r="A944" s="158"/>
      <c r="E944" s="192"/>
      <c r="F944" s="192"/>
      <c r="G944" s="192"/>
      <c r="H944" s="192"/>
      <c r="I944" s="192"/>
      <c r="J944" s="192"/>
    </row>
    <row r="945" ht="14.25" customHeight="1">
      <c r="A945" s="158"/>
      <c r="E945" s="192"/>
      <c r="F945" s="192"/>
      <c r="G945" s="192"/>
      <c r="H945" s="192"/>
      <c r="I945" s="192"/>
      <c r="J945" s="192"/>
    </row>
    <row r="946" ht="14.25" customHeight="1">
      <c r="A946" s="158"/>
      <c r="E946" s="192"/>
      <c r="F946" s="192"/>
      <c r="G946" s="192"/>
      <c r="H946" s="192"/>
      <c r="I946" s="192"/>
      <c r="J946" s="192"/>
    </row>
    <row r="947" ht="14.25" customHeight="1">
      <c r="A947" s="158"/>
      <c r="E947" s="192"/>
      <c r="F947" s="192"/>
      <c r="G947" s="192"/>
      <c r="H947" s="192"/>
      <c r="I947" s="192"/>
      <c r="J947" s="192"/>
    </row>
    <row r="948" ht="14.25" customHeight="1">
      <c r="A948" s="158"/>
      <c r="E948" s="192"/>
      <c r="F948" s="192"/>
      <c r="G948" s="192"/>
      <c r="H948" s="192"/>
      <c r="I948" s="192"/>
      <c r="J948" s="192"/>
    </row>
    <row r="949" ht="14.25" customHeight="1">
      <c r="A949" s="158"/>
      <c r="E949" s="192"/>
      <c r="F949" s="192"/>
      <c r="G949" s="192"/>
      <c r="H949" s="192"/>
      <c r="I949" s="192"/>
      <c r="J949" s="192"/>
    </row>
    <row r="950" ht="14.25" customHeight="1">
      <c r="A950" s="158"/>
      <c r="E950" s="192"/>
      <c r="F950" s="192"/>
      <c r="G950" s="192"/>
      <c r="H950" s="192"/>
      <c r="I950" s="192"/>
      <c r="J950" s="192"/>
    </row>
    <row r="951" ht="14.25" customHeight="1">
      <c r="A951" s="158"/>
      <c r="E951" s="192"/>
      <c r="F951" s="192"/>
      <c r="G951" s="192"/>
      <c r="H951" s="192"/>
      <c r="I951" s="192"/>
      <c r="J951" s="192"/>
    </row>
    <row r="952" ht="14.25" customHeight="1">
      <c r="A952" s="158"/>
      <c r="E952" s="192"/>
      <c r="F952" s="192"/>
      <c r="G952" s="192"/>
      <c r="H952" s="192"/>
      <c r="I952" s="192"/>
      <c r="J952" s="192"/>
    </row>
    <row r="953" ht="14.25" customHeight="1">
      <c r="A953" s="158"/>
      <c r="E953" s="192"/>
      <c r="F953" s="192"/>
      <c r="G953" s="192"/>
      <c r="H953" s="192"/>
      <c r="I953" s="192"/>
      <c r="J953" s="192"/>
    </row>
    <row r="954" ht="14.25" customHeight="1">
      <c r="A954" s="158"/>
      <c r="E954" s="192"/>
      <c r="F954" s="192"/>
      <c r="G954" s="192"/>
      <c r="H954" s="192"/>
      <c r="I954" s="192"/>
      <c r="J954" s="192"/>
    </row>
    <row r="955" ht="14.25" customHeight="1">
      <c r="A955" s="158"/>
      <c r="E955" s="192"/>
      <c r="F955" s="192"/>
      <c r="G955" s="192"/>
      <c r="H955" s="192"/>
      <c r="I955" s="192"/>
      <c r="J955" s="192"/>
    </row>
    <row r="956" ht="14.25" customHeight="1">
      <c r="A956" s="158"/>
      <c r="E956" s="192"/>
      <c r="F956" s="192"/>
      <c r="G956" s="192"/>
      <c r="H956" s="192"/>
      <c r="I956" s="192"/>
      <c r="J956" s="192"/>
    </row>
    <row r="957" ht="14.25" customHeight="1">
      <c r="A957" s="158"/>
      <c r="E957" s="192"/>
      <c r="F957" s="192"/>
      <c r="G957" s="192"/>
      <c r="H957" s="192"/>
      <c r="I957" s="192"/>
      <c r="J957" s="192"/>
    </row>
    <row r="958" ht="14.25" customHeight="1">
      <c r="A958" s="158"/>
      <c r="E958" s="192"/>
      <c r="F958" s="192"/>
      <c r="G958" s="192"/>
      <c r="H958" s="192"/>
      <c r="I958" s="192"/>
      <c r="J958" s="192"/>
    </row>
    <row r="959" ht="14.25" customHeight="1">
      <c r="A959" s="158"/>
      <c r="E959" s="192"/>
      <c r="F959" s="192"/>
      <c r="G959" s="192"/>
      <c r="H959" s="192"/>
      <c r="I959" s="192"/>
      <c r="J959" s="192"/>
    </row>
    <row r="960" ht="14.25" customHeight="1">
      <c r="A960" s="158"/>
      <c r="E960" s="192"/>
      <c r="F960" s="192"/>
      <c r="G960" s="192"/>
      <c r="H960" s="192"/>
      <c r="I960" s="192"/>
      <c r="J960" s="192"/>
    </row>
    <row r="961" ht="14.25" customHeight="1">
      <c r="A961" s="158"/>
      <c r="E961" s="192"/>
      <c r="F961" s="192"/>
      <c r="G961" s="192"/>
      <c r="H961" s="192"/>
      <c r="I961" s="192"/>
      <c r="J961" s="192"/>
    </row>
    <row r="962" ht="14.25" customHeight="1">
      <c r="A962" s="158"/>
      <c r="E962" s="192"/>
      <c r="F962" s="192"/>
      <c r="G962" s="192"/>
      <c r="H962" s="192"/>
      <c r="I962" s="192"/>
      <c r="J962" s="192"/>
    </row>
    <row r="963" ht="14.25" customHeight="1">
      <c r="A963" s="158"/>
      <c r="E963" s="192"/>
      <c r="F963" s="192"/>
      <c r="G963" s="192"/>
      <c r="H963" s="192"/>
      <c r="I963" s="192"/>
      <c r="J963" s="192"/>
    </row>
    <row r="964" ht="14.25" customHeight="1">
      <c r="A964" s="158"/>
      <c r="E964" s="192"/>
      <c r="F964" s="192"/>
      <c r="G964" s="192"/>
      <c r="H964" s="192"/>
      <c r="I964" s="192"/>
      <c r="J964" s="192"/>
    </row>
    <row r="965" ht="14.25" customHeight="1">
      <c r="A965" s="158"/>
      <c r="E965" s="192"/>
      <c r="F965" s="192"/>
      <c r="G965" s="192"/>
      <c r="H965" s="192"/>
      <c r="I965" s="192"/>
      <c r="J965" s="192"/>
    </row>
    <row r="966" ht="14.25" customHeight="1">
      <c r="A966" s="158"/>
      <c r="E966" s="192"/>
      <c r="F966" s="192"/>
      <c r="G966" s="192"/>
      <c r="H966" s="192"/>
      <c r="I966" s="192"/>
      <c r="J966" s="192"/>
    </row>
    <row r="967" ht="14.25" customHeight="1">
      <c r="A967" s="158"/>
      <c r="E967" s="192"/>
      <c r="F967" s="192"/>
      <c r="G967" s="192"/>
      <c r="H967" s="192"/>
      <c r="I967" s="192"/>
      <c r="J967" s="192"/>
    </row>
    <row r="968" ht="14.25" customHeight="1">
      <c r="A968" s="158"/>
      <c r="E968" s="192"/>
      <c r="F968" s="192"/>
      <c r="G968" s="192"/>
      <c r="H968" s="192"/>
      <c r="I968" s="192"/>
      <c r="J968" s="192"/>
    </row>
    <row r="969" ht="14.25" customHeight="1">
      <c r="A969" s="158"/>
      <c r="E969" s="192"/>
      <c r="F969" s="192"/>
      <c r="G969" s="192"/>
      <c r="H969" s="192"/>
      <c r="I969" s="192"/>
      <c r="J969" s="192"/>
    </row>
    <row r="970" ht="14.25" customHeight="1">
      <c r="A970" s="158"/>
      <c r="E970" s="192"/>
      <c r="F970" s="192"/>
      <c r="G970" s="192"/>
      <c r="H970" s="192"/>
      <c r="I970" s="192"/>
      <c r="J970" s="192"/>
    </row>
    <row r="971" ht="14.25" customHeight="1">
      <c r="A971" s="158"/>
      <c r="E971" s="192"/>
      <c r="F971" s="192"/>
      <c r="G971" s="192"/>
      <c r="H971" s="192"/>
      <c r="I971" s="192"/>
      <c r="J971" s="192"/>
    </row>
    <row r="972" ht="14.25" customHeight="1">
      <c r="A972" s="158"/>
      <c r="E972" s="192"/>
      <c r="F972" s="192"/>
      <c r="G972" s="192"/>
      <c r="H972" s="192"/>
      <c r="I972" s="192"/>
      <c r="J972" s="192"/>
    </row>
    <row r="973" ht="14.25" customHeight="1">
      <c r="A973" s="158"/>
      <c r="E973" s="192"/>
      <c r="F973" s="192"/>
      <c r="G973" s="192"/>
      <c r="H973" s="192"/>
      <c r="I973" s="192"/>
      <c r="J973" s="192"/>
    </row>
    <row r="974" ht="14.25" customHeight="1">
      <c r="A974" s="158"/>
      <c r="E974" s="192"/>
      <c r="F974" s="192"/>
      <c r="G974" s="192"/>
      <c r="H974" s="192"/>
      <c r="I974" s="192"/>
      <c r="J974" s="192"/>
    </row>
    <row r="975" ht="14.25" customHeight="1">
      <c r="A975" s="158"/>
      <c r="E975" s="192"/>
      <c r="F975" s="192"/>
      <c r="G975" s="192"/>
      <c r="H975" s="192"/>
      <c r="I975" s="192"/>
      <c r="J975" s="192"/>
    </row>
    <row r="976" ht="14.25" customHeight="1">
      <c r="A976" s="158"/>
      <c r="E976" s="192"/>
      <c r="F976" s="192"/>
      <c r="G976" s="192"/>
      <c r="H976" s="192"/>
      <c r="I976" s="192"/>
      <c r="J976" s="192"/>
    </row>
    <row r="977" ht="14.25" customHeight="1">
      <c r="A977" s="158"/>
      <c r="E977" s="192"/>
      <c r="F977" s="192"/>
      <c r="G977" s="192"/>
      <c r="H977" s="192"/>
      <c r="I977" s="192"/>
      <c r="J977" s="192"/>
    </row>
    <row r="978" ht="14.25" customHeight="1">
      <c r="A978" s="158"/>
      <c r="E978" s="192"/>
      <c r="F978" s="192"/>
      <c r="G978" s="192"/>
      <c r="H978" s="192"/>
      <c r="I978" s="192"/>
      <c r="J978" s="192"/>
    </row>
    <row r="979" ht="14.25" customHeight="1">
      <c r="A979" s="158"/>
      <c r="E979" s="192"/>
      <c r="F979" s="192"/>
      <c r="G979" s="192"/>
      <c r="H979" s="192"/>
      <c r="I979" s="192"/>
      <c r="J979" s="192"/>
    </row>
    <row r="980" ht="14.25" customHeight="1">
      <c r="A980" s="158"/>
      <c r="E980" s="192"/>
      <c r="F980" s="192"/>
      <c r="G980" s="192"/>
      <c r="H980" s="192"/>
      <c r="I980" s="192"/>
      <c r="J980" s="192"/>
    </row>
    <row r="981" ht="14.25" customHeight="1">
      <c r="A981" s="158"/>
      <c r="E981" s="192"/>
      <c r="F981" s="192"/>
      <c r="G981" s="192"/>
      <c r="H981" s="192"/>
      <c r="I981" s="192"/>
      <c r="J981" s="192"/>
    </row>
    <row r="982" ht="14.25" customHeight="1">
      <c r="A982" s="158"/>
      <c r="E982" s="192"/>
      <c r="F982" s="192"/>
      <c r="G982" s="192"/>
      <c r="H982" s="192"/>
      <c r="I982" s="192"/>
      <c r="J982" s="192"/>
    </row>
    <row r="983" ht="14.25" customHeight="1">
      <c r="A983" s="158"/>
      <c r="E983" s="192"/>
      <c r="F983" s="192"/>
      <c r="G983" s="192"/>
      <c r="H983" s="192"/>
      <c r="I983" s="192"/>
      <c r="J983" s="192"/>
    </row>
    <row r="984" ht="14.25" customHeight="1">
      <c r="A984" s="158"/>
      <c r="E984" s="192"/>
      <c r="F984" s="192"/>
      <c r="G984" s="192"/>
      <c r="H984" s="192"/>
      <c r="I984" s="192"/>
      <c r="J984" s="192"/>
    </row>
    <row r="985" ht="14.25" customHeight="1">
      <c r="A985" s="158"/>
      <c r="E985" s="192"/>
      <c r="F985" s="192"/>
      <c r="G985" s="192"/>
      <c r="H985" s="192"/>
      <c r="I985" s="192"/>
      <c r="J985" s="192"/>
    </row>
    <row r="986" ht="14.25" customHeight="1">
      <c r="A986" s="158"/>
      <c r="E986" s="192"/>
      <c r="F986" s="192"/>
      <c r="G986" s="192"/>
      <c r="H986" s="192"/>
      <c r="I986" s="192"/>
      <c r="J986" s="192"/>
    </row>
    <row r="987" ht="14.25" customHeight="1">
      <c r="A987" s="158"/>
      <c r="E987" s="192"/>
      <c r="F987" s="192"/>
      <c r="G987" s="192"/>
      <c r="H987" s="192"/>
      <c r="I987" s="192"/>
      <c r="J987" s="192"/>
    </row>
    <row r="988" ht="14.25" customHeight="1">
      <c r="A988" s="158"/>
      <c r="E988" s="192"/>
      <c r="F988" s="192"/>
      <c r="G988" s="192"/>
      <c r="H988" s="192"/>
      <c r="I988" s="192"/>
      <c r="J988" s="192"/>
    </row>
    <row r="989" ht="14.25" customHeight="1">
      <c r="A989" s="158"/>
      <c r="E989" s="192"/>
      <c r="F989" s="192"/>
      <c r="G989" s="192"/>
      <c r="H989" s="192"/>
      <c r="I989" s="192"/>
      <c r="J989" s="192"/>
    </row>
    <row r="990" ht="14.25" customHeight="1">
      <c r="A990" s="158"/>
      <c r="E990" s="192"/>
      <c r="F990" s="192"/>
      <c r="G990" s="192"/>
      <c r="H990" s="192"/>
      <c r="I990" s="192"/>
      <c r="J990" s="192"/>
    </row>
    <row r="991" ht="14.25" customHeight="1">
      <c r="A991" s="158"/>
      <c r="E991" s="192"/>
      <c r="F991" s="192"/>
      <c r="G991" s="192"/>
      <c r="H991" s="192"/>
      <c r="I991" s="192"/>
      <c r="J991" s="192"/>
    </row>
    <row r="992" ht="14.25" customHeight="1">
      <c r="A992" s="158"/>
      <c r="E992" s="192"/>
      <c r="F992" s="192"/>
      <c r="G992" s="192"/>
      <c r="H992" s="192"/>
      <c r="I992" s="192"/>
      <c r="J992" s="192"/>
    </row>
    <row r="993" ht="14.25" customHeight="1">
      <c r="A993" s="158"/>
      <c r="E993" s="192"/>
      <c r="F993" s="192"/>
      <c r="G993" s="192"/>
      <c r="H993" s="192"/>
      <c r="I993" s="192"/>
      <c r="J993" s="192"/>
    </row>
    <row r="994" ht="14.25" customHeight="1">
      <c r="A994" s="158"/>
      <c r="E994" s="192"/>
      <c r="F994" s="192"/>
      <c r="G994" s="192"/>
      <c r="H994" s="192"/>
      <c r="I994" s="192"/>
      <c r="J994" s="192"/>
    </row>
    <row r="995" ht="14.25" customHeight="1">
      <c r="A995" s="158"/>
      <c r="E995" s="192"/>
      <c r="F995" s="192"/>
      <c r="G995" s="192"/>
      <c r="H995" s="192"/>
      <c r="I995" s="192"/>
      <c r="J995" s="192"/>
    </row>
    <row r="996" ht="14.25" customHeight="1">
      <c r="A996" s="158"/>
      <c r="E996" s="192"/>
      <c r="F996" s="192"/>
      <c r="G996" s="192"/>
      <c r="H996" s="192"/>
      <c r="I996" s="192"/>
      <c r="J996" s="192"/>
    </row>
    <row r="997" ht="14.25" customHeight="1">
      <c r="A997" s="158"/>
      <c r="E997" s="192"/>
      <c r="F997" s="192"/>
      <c r="G997" s="192"/>
      <c r="H997" s="192"/>
      <c r="I997" s="192"/>
      <c r="J997" s="192"/>
    </row>
    <row r="998" ht="14.25" customHeight="1">
      <c r="A998" s="158"/>
      <c r="E998" s="192"/>
      <c r="F998" s="192"/>
      <c r="G998" s="192"/>
      <c r="H998" s="192"/>
      <c r="I998" s="192"/>
      <c r="J998" s="192"/>
    </row>
    <row r="999" ht="14.25" customHeight="1">
      <c r="A999" s="158"/>
      <c r="E999" s="192"/>
      <c r="F999" s="192"/>
      <c r="G999" s="192"/>
      <c r="H999" s="192"/>
      <c r="I999" s="192"/>
      <c r="J999" s="192"/>
    </row>
    <row r="1000" ht="14.25" customHeight="1">
      <c r="A1000" s="158"/>
      <c r="E1000" s="192"/>
      <c r="F1000" s="192"/>
      <c r="G1000" s="192"/>
      <c r="H1000" s="192"/>
      <c r="I1000" s="192"/>
      <c r="J1000" s="192"/>
    </row>
  </sheetData>
  <printOptions/>
  <pageMargins bottom="0.75" footer="0.0" header="0.0" left="0.7" right="0.7" top="0.75"/>
  <pageSetup paperSize="9" orientation="portrait"/>
  <colBreaks count="1" manualBreakCount="1">
    <brk id="9" man="1"/>
  </colBrea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51.0"/>
    <col customWidth="1" hidden="1" min="3" max="4" width="3.71"/>
    <col customWidth="1" min="5" max="9" width="13.86"/>
    <col customWidth="1" min="10" max="10" width="11.43"/>
    <col customWidth="1" min="11" max="11" width="13.86" outlineLevel="1"/>
    <col customWidth="1" min="12" max="70" width="11.43" outlineLevel="1"/>
  </cols>
  <sheetData>
    <row r="1">
      <c r="A1" s="158"/>
      <c r="B1" s="159" t="str">
        <f>Company_Name</f>
        <v>ABC Company</v>
      </c>
      <c r="C1" s="160"/>
      <c r="D1" s="160"/>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row>
    <row r="2">
      <c r="A2" s="158"/>
      <c r="B2" s="159" t="s">
        <v>61</v>
      </c>
      <c r="C2" s="165"/>
      <c r="D2" s="165"/>
      <c r="E2" s="161">
        <f>'Input Assumptions'!E$18</f>
        <v>1</v>
      </c>
      <c r="F2" s="161">
        <f>'Input Assumptions'!F$18</f>
        <v>2</v>
      </c>
      <c r="G2" s="161">
        <f>'Input Assumptions'!G$18</f>
        <v>3</v>
      </c>
      <c r="H2" s="161">
        <f>'Input Assumptions'!H$18</f>
        <v>4</v>
      </c>
      <c r="I2" s="161">
        <f>'Input Assumptions'!I$18</f>
        <v>5</v>
      </c>
      <c r="J2" s="158"/>
      <c r="K2" s="163">
        <f>IF(K$4&lt;Fin_Year_End,1,IF(MONTH(K$4)=MONTH(Fin_Year_End)+1,MIN(J2+1,5),J2))</f>
        <v>1</v>
      </c>
      <c r="L2" s="163">
        <f>IF(L$4&lt;Fin_Year_End,1,IF(MONTH(L$4)=MONTH(Fin_Year_End)+1,MIN(K2+1,5),K2))</f>
        <v>1</v>
      </c>
      <c r="M2" s="163">
        <f>IF(M$4&lt;Fin_Year_End,1,IF(MONTH(M$4)=MONTH(Fin_Year_End)+1,MIN(L2+1,5),L2))</f>
        <v>1</v>
      </c>
      <c r="N2" s="163">
        <f>IF(N$4&lt;Fin_Year_End,1,IF(MONTH(N$4)=MONTH(Fin_Year_End)+1,MIN(M2+1,5),M2))</f>
        <v>1</v>
      </c>
      <c r="O2" s="163">
        <f>IF(O$4&lt;Fin_Year_End,1,IF(MONTH(O$4)=MONTH(Fin_Year_End)+1,MIN(N2+1,5),N2))</f>
        <v>1</v>
      </c>
      <c r="P2" s="163">
        <f>IF(P$4&lt;Fin_Year_End,1,IF(MONTH(P$4)=MONTH(Fin_Year_End)+1,MIN(O2+1,5),O2))</f>
        <v>1</v>
      </c>
      <c r="Q2" s="163">
        <f>IF(Q$4&lt;Fin_Year_End,1,IF(MONTH(Q$4)=MONTH(Fin_Year_End)+1,MIN(P2+1,5),P2))</f>
        <v>1</v>
      </c>
      <c r="R2" s="163">
        <f>IF(R$4&lt;Fin_Year_End,1,IF(MONTH(R$4)=MONTH(Fin_Year_End)+1,MIN(Q2+1,5),Q2))</f>
        <v>1</v>
      </c>
      <c r="S2" s="163">
        <f>IF(S$4&lt;Fin_Year_End,1,IF(MONTH(S$4)=MONTH(Fin_Year_End)+1,MIN(R2+1,5),R2))</f>
        <v>1</v>
      </c>
      <c r="T2" s="163">
        <f>IF(T$4&lt;Fin_Year_End,1,IF(MONTH(T$4)=MONTH(Fin_Year_End)+1,MIN(S2+1,5),S2))</f>
        <v>1</v>
      </c>
      <c r="U2" s="163">
        <f>IF(U$4&lt;Fin_Year_End,1,IF(MONTH(U$4)=MONTH(Fin_Year_End)+1,MIN(T2+1,5),T2))</f>
        <v>1</v>
      </c>
      <c r="V2" s="163">
        <f>IF(V$4&lt;Fin_Year_End,1,IF(MONTH(V$4)=MONTH(Fin_Year_End)+1,MIN(U2+1,5),U2))</f>
        <v>1</v>
      </c>
      <c r="W2" s="163">
        <f>IF(W$4&lt;Fin_Year_End,1,IF(MONTH(W$4)=MONTH(Fin_Year_End)+1,MIN(V2+1,5),V2))</f>
        <v>2</v>
      </c>
      <c r="X2" s="163">
        <f>IF(X$4&lt;Fin_Year_End,1,IF(MONTH(X$4)=MONTH(Fin_Year_End)+1,MIN(W2+1,5),W2))</f>
        <v>2</v>
      </c>
      <c r="Y2" s="163">
        <f>IF(Y$4&lt;Fin_Year_End,1,IF(MONTH(Y$4)=MONTH(Fin_Year_End)+1,MIN(X2+1,5),X2))</f>
        <v>2</v>
      </c>
      <c r="Z2" s="163">
        <f>IF(Z$4&lt;Fin_Year_End,1,IF(MONTH(Z$4)=MONTH(Fin_Year_End)+1,MIN(Y2+1,5),Y2))</f>
        <v>2</v>
      </c>
      <c r="AA2" s="163">
        <f>IF(AA$4&lt;Fin_Year_End,1,IF(MONTH(AA$4)=MONTH(Fin_Year_End)+1,MIN(Z2+1,5),Z2))</f>
        <v>2</v>
      </c>
      <c r="AB2" s="163">
        <f>IF(AB$4&lt;Fin_Year_End,1,IF(MONTH(AB$4)=MONTH(Fin_Year_End)+1,MIN(AA2+1,5),AA2))</f>
        <v>2</v>
      </c>
      <c r="AC2" s="163">
        <f>IF(AC$4&lt;Fin_Year_End,1,IF(MONTH(AC$4)=MONTH(Fin_Year_End)+1,MIN(AB2+1,5),AB2))</f>
        <v>2</v>
      </c>
      <c r="AD2" s="163">
        <f>IF(AD$4&lt;Fin_Year_End,1,IF(MONTH(AD$4)=MONTH(Fin_Year_End)+1,MIN(AC2+1,5),AC2))</f>
        <v>2</v>
      </c>
      <c r="AE2" s="163">
        <f>IF(AE$4&lt;Fin_Year_End,1,IF(MONTH(AE$4)=MONTH(Fin_Year_End)+1,MIN(AD2+1,5),AD2))</f>
        <v>2</v>
      </c>
      <c r="AF2" s="163">
        <f>IF(AF$4&lt;Fin_Year_End,1,IF(MONTH(AF$4)=MONTH(Fin_Year_End)+1,MIN(AE2+1,5),AE2))</f>
        <v>2</v>
      </c>
      <c r="AG2" s="163">
        <f>IF(AG$4&lt;Fin_Year_End,1,IF(MONTH(AG$4)=MONTH(Fin_Year_End)+1,MIN(AF2+1,5),AF2))</f>
        <v>2</v>
      </c>
      <c r="AH2" s="163">
        <f>IF(AH$4&lt;Fin_Year_End,1,IF(MONTH(AH$4)=MONTH(Fin_Year_End)+1,MIN(AG2+1,5),AG2))</f>
        <v>2</v>
      </c>
      <c r="AI2" s="163">
        <f>IF(AI$4&lt;Fin_Year_End,1,IF(MONTH(AI$4)=MONTH(Fin_Year_End)+1,MIN(AH2+1,5),AH2))</f>
        <v>3</v>
      </c>
      <c r="AJ2" s="163">
        <f>IF(AJ$4&lt;Fin_Year_End,1,IF(MONTH(AJ$4)=MONTH(Fin_Year_End)+1,MIN(AI2+1,5),AI2))</f>
        <v>3</v>
      </c>
      <c r="AK2" s="163">
        <f>IF(AK$4&lt;Fin_Year_End,1,IF(MONTH(AK$4)=MONTH(Fin_Year_End)+1,MIN(AJ2+1,5),AJ2))</f>
        <v>3</v>
      </c>
      <c r="AL2" s="163">
        <f>IF(AL$4&lt;Fin_Year_End,1,IF(MONTH(AL$4)=MONTH(Fin_Year_End)+1,MIN(AK2+1,5),AK2))</f>
        <v>3</v>
      </c>
      <c r="AM2" s="163">
        <f>IF(AM$4&lt;Fin_Year_End,1,IF(MONTH(AM$4)=MONTH(Fin_Year_End)+1,MIN(AL2+1,5),AL2))</f>
        <v>3</v>
      </c>
      <c r="AN2" s="163">
        <f>IF(AN$4&lt;Fin_Year_End,1,IF(MONTH(AN$4)=MONTH(Fin_Year_End)+1,MIN(AM2+1,5),AM2))</f>
        <v>3</v>
      </c>
      <c r="AO2" s="163">
        <f>IF(AO$4&lt;Fin_Year_End,1,IF(MONTH(AO$4)=MONTH(Fin_Year_End)+1,MIN(AN2+1,5),AN2))</f>
        <v>3</v>
      </c>
      <c r="AP2" s="163">
        <f>IF(AP$4&lt;Fin_Year_End,1,IF(MONTH(AP$4)=MONTH(Fin_Year_End)+1,MIN(AO2+1,5),AO2))</f>
        <v>3</v>
      </c>
      <c r="AQ2" s="163">
        <f>IF(AQ$4&lt;Fin_Year_End,1,IF(MONTH(AQ$4)=MONTH(Fin_Year_End)+1,MIN(AP2+1,5),AP2))</f>
        <v>3</v>
      </c>
      <c r="AR2" s="163">
        <f>IF(AR$4&lt;Fin_Year_End,1,IF(MONTH(AR$4)=MONTH(Fin_Year_End)+1,MIN(AQ2+1,5),AQ2))</f>
        <v>3</v>
      </c>
      <c r="AS2" s="163">
        <f>IF(AS$4&lt;Fin_Year_End,1,IF(MONTH(AS$4)=MONTH(Fin_Year_End)+1,MIN(AR2+1,5),AR2))</f>
        <v>3</v>
      </c>
      <c r="AT2" s="163">
        <f>IF(AT$4&lt;Fin_Year_End,1,IF(MONTH(AT$4)=MONTH(Fin_Year_End)+1,MIN(AS2+1,5),AS2))</f>
        <v>3</v>
      </c>
      <c r="AU2" s="163">
        <f>IF(AU$4&lt;Fin_Year_End,1,IF(MONTH(AU$4)=MONTH(Fin_Year_End)+1,MIN(AT2+1,5),AT2))</f>
        <v>4</v>
      </c>
      <c r="AV2" s="163">
        <f>IF(AV$4&lt;Fin_Year_End,1,IF(MONTH(AV$4)=MONTH(Fin_Year_End)+1,MIN(AU2+1,5),AU2))</f>
        <v>4</v>
      </c>
      <c r="AW2" s="163">
        <f>IF(AW$4&lt;Fin_Year_End,1,IF(MONTH(AW$4)=MONTH(Fin_Year_End)+1,MIN(AV2+1,5),AV2))</f>
        <v>4</v>
      </c>
      <c r="AX2" s="163">
        <f>IF(AX$4&lt;Fin_Year_End,1,IF(MONTH(AX$4)=MONTH(Fin_Year_End)+1,MIN(AW2+1,5),AW2))</f>
        <v>4</v>
      </c>
      <c r="AY2" s="163">
        <f>IF(AY$4&lt;Fin_Year_End,1,IF(MONTH(AY$4)=MONTH(Fin_Year_End)+1,MIN(AX2+1,5),AX2))</f>
        <v>4</v>
      </c>
      <c r="AZ2" s="163">
        <f>IF(AZ$4&lt;Fin_Year_End,1,IF(MONTH(AZ$4)=MONTH(Fin_Year_End)+1,MIN(AY2+1,5),AY2))</f>
        <v>4</v>
      </c>
      <c r="BA2" s="163">
        <f>IF(BA$4&lt;Fin_Year_End,1,IF(MONTH(BA$4)=MONTH(Fin_Year_End)+1,MIN(AZ2+1,5),AZ2))</f>
        <v>4</v>
      </c>
      <c r="BB2" s="163">
        <f>IF(BB$4&lt;Fin_Year_End,1,IF(MONTH(BB$4)=MONTH(Fin_Year_End)+1,MIN(BA2+1,5),BA2))</f>
        <v>4</v>
      </c>
      <c r="BC2" s="163">
        <f>IF(BC$4&lt;Fin_Year_End,1,IF(MONTH(BC$4)=MONTH(Fin_Year_End)+1,MIN(BB2+1,5),BB2))</f>
        <v>4</v>
      </c>
      <c r="BD2" s="163">
        <f>IF(BD$4&lt;Fin_Year_End,1,IF(MONTH(BD$4)=MONTH(Fin_Year_End)+1,MIN(BC2+1,5),BC2))</f>
        <v>4</v>
      </c>
      <c r="BE2" s="163">
        <f>IF(BE$4&lt;Fin_Year_End,1,IF(MONTH(BE$4)=MONTH(Fin_Year_End)+1,MIN(BD2+1,5),BD2))</f>
        <v>4</v>
      </c>
      <c r="BF2" s="163">
        <f>IF(BF$4&lt;Fin_Year_End,1,IF(MONTH(BF$4)=MONTH(Fin_Year_End)+1,MIN(BE2+1,5),BE2))</f>
        <v>4</v>
      </c>
      <c r="BG2" s="163">
        <f>IF(BG$4&lt;Fin_Year_End,1,IF(MONTH(BG$4)=MONTH(Fin_Year_End)+1,MIN(BF2+1,5),BF2))</f>
        <v>5</v>
      </c>
      <c r="BH2" s="163">
        <f>IF(BH$4&lt;Fin_Year_End,1,IF(MONTH(BH$4)=MONTH(Fin_Year_End)+1,MIN(BG2+1,5),BG2))</f>
        <v>5</v>
      </c>
      <c r="BI2" s="163">
        <f>IF(BI$4&lt;Fin_Year_End,1,IF(MONTH(BI$4)=MONTH(Fin_Year_End)+1,MIN(BH2+1,5),BH2))</f>
        <v>5</v>
      </c>
      <c r="BJ2" s="163">
        <f>IF(BJ$4&lt;Fin_Year_End,1,IF(MONTH(BJ$4)=MONTH(Fin_Year_End)+1,MIN(BI2+1,5),BI2))</f>
        <v>5</v>
      </c>
      <c r="BK2" s="163">
        <f>IF(BK$4&lt;Fin_Year_End,1,IF(MONTH(BK$4)=MONTH(Fin_Year_End)+1,MIN(BJ2+1,5),BJ2))</f>
        <v>5</v>
      </c>
      <c r="BL2" s="163">
        <f>IF(BL$4&lt;Fin_Year_End,1,IF(MONTH(BL$4)=MONTH(Fin_Year_End)+1,MIN(BK2+1,5),BK2))</f>
        <v>5</v>
      </c>
      <c r="BM2" s="163">
        <f>IF(BM$4&lt;Fin_Year_End,1,IF(MONTH(BM$4)=MONTH(Fin_Year_End)+1,MIN(BL2+1,5),BL2))</f>
        <v>5</v>
      </c>
      <c r="BN2" s="163">
        <f>IF(BN$4&lt;Fin_Year_End,1,IF(MONTH(BN$4)=MONTH(Fin_Year_End)+1,MIN(BM2+1,5),BM2))</f>
        <v>5</v>
      </c>
      <c r="BO2" s="163">
        <f>IF(BO$4&lt;Fin_Year_End,1,IF(MONTH(BO$4)=MONTH(Fin_Year_End)+1,MIN(BN2+1,5),BN2))</f>
        <v>5</v>
      </c>
      <c r="BP2" s="163">
        <f>IF(BP$4&lt;Fin_Year_End,1,IF(MONTH(BP$4)=MONTH(Fin_Year_End)+1,MIN(BO2+1,5),BO2))</f>
        <v>5</v>
      </c>
      <c r="BQ2" s="163">
        <f>IF(BQ$4&lt;Fin_Year_End,1,IF(MONTH(BQ$4)=MONTH(Fin_Year_End)+1,MIN(BP2+1,5),BP2))</f>
        <v>5</v>
      </c>
      <c r="BR2" s="163">
        <f>IF(BR$4&lt;Fin_Year_End,1,IF(MONTH(BR$4)=MONTH(Fin_Year_End)+1,MIN(BQ2+1,5),BQ2))</f>
        <v>5</v>
      </c>
    </row>
    <row r="3">
      <c r="A3" s="158"/>
      <c r="B3" s="210"/>
      <c r="C3" s="172"/>
      <c r="D3" s="172"/>
      <c r="E3" s="166" t="str">
        <f>'Input Assumptions'!E$17</f>
        <v>2024-2025</v>
      </c>
      <c r="F3" s="166" t="str">
        <f>'Input Assumptions'!F$17</f>
        <v>2025-2026</v>
      </c>
      <c r="G3" s="166" t="str">
        <f>'Input Assumptions'!G$17</f>
        <v>2026-2027</v>
      </c>
      <c r="H3" s="166" t="str">
        <f>'Input Assumptions'!H$17</f>
        <v>2027-2028</v>
      </c>
      <c r="I3" s="166" t="str">
        <f>'Input Assumptions'!I$17</f>
        <v>2028-2029</v>
      </c>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row>
    <row r="4">
      <c r="A4" s="158"/>
      <c r="B4" s="210"/>
      <c r="C4" s="175"/>
      <c r="D4" s="175"/>
      <c r="E4" s="41" t="str">
        <f>Model!E$12</f>
        <v>Year 1</v>
      </c>
      <c r="F4" s="41" t="str">
        <f>Model!F$12</f>
        <v>Year 2</v>
      </c>
      <c r="G4" s="41" t="str">
        <f>Model!G$12</f>
        <v>Year 3</v>
      </c>
      <c r="H4" s="41" t="str">
        <f>Model!H$12</f>
        <v>Year 4</v>
      </c>
      <c r="I4" s="41" t="str">
        <f>Model!I$12</f>
        <v>Year 5</v>
      </c>
      <c r="J4" s="15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c r="A5" s="170"/>
      <c r="B5" s="211" t="s">
        <v>191</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row>
    <row r="6">
      <c r="A6" s="170"/>
      <c r="B6" s="212" t="s">
        <v>192</v>
      </c>
      <c r="C6" s="175"/>
      <c r="D6" s="175"/>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row>
    <row r="7">
      <c r="A7" s="170"/>
      <c r="B7" s="213" t="s">
        <v>193</v>
      </c>
      <c r="C7" s="179"/>
      <c r="D7" s="179"/>
      <c r="E7" s="214">
        <f t="shared" ref="E7:I7" si="2">INDEX($K7:$BR7,,MATCH(E$2,$K$2:$BR$2,0)+11)</f>
        <v>12088.4427</v>
      </c>
      <c r="F7" s="214">
        <f t="shared" si="2"/>
        <v>6064.801389</v>
      </c>
      <c r="G7" s="214">
        <f t="shared" si="2"/>
        <v>35316.95947</v>
      </c>
      <c r="H7" s="214">
        <f t="shared" si="2"/>
        <v>76777.85379</v>
      </c>
      <c r="I7" s="214">
        <f t="shared" si="2"/>
        <v>129224.9691</v>
      </c>
      <c r="J7" s="170"/>
      <c r="K7" s="177">
        <f>Model!K92</f>
        <v>98240.2914</v>
      </c>
      <c r="L7" s="177">
        <f>Model!L92</f>
        <v>85290.70267</v>
      </c>
      <c r="M7" s="177">
        <f>Model!M92</f>
        <v>75696.81171</v>
      </c>
      <c r="N7" s="177">
        <f>Model!N92</f>
        <v>65534.67334</v>
      </c>
      <c r="O7" s="177">
        <f>Model!O92</f>
        <v>57275.55571</v>
      </c>
      <c r="P7" s="177">
        <f>Model!P92</f>
        <v>48983.36975</v>
      </c>
      <c r="Q7" s="177">
        <f>Model!Q92</f>
        <v>38697.8534</v>
      </c>
      <c r="R7" s="177">
        <f>Model!R92</f>
        <v>34235.88194</v>
      </c>
      <c r="S7" s="177">
        <f>Model!S92</f>
        <v>26859.75723</v>
      </c>
      <c r="T7" s="177">
        <f>Model!T92</f>
        <v>21937.57292</v>
      </c>
      <c r="U7" s="177">
        <f>Model!U92</f>
        <v>15675.85368</v>
      </c>
      <c r="V7" s="177">
        <f>Model!V92</f>
        <v>12088.4427</v>
      </c>
      <c r="W7" s="177">
        <f>Model!W92</f>
        <v>8298.57941</v>
      </c>
      <c r="X7" s="177">
        <f>Model!X92</f>
        <v>3941.806652</v>
      </c>
      <c r="Y7" s="177">
        <f>Model!Y92</f>
        <v>2606.972454</v>
      </c>
      <c r="Z7" s="177">
        <f>Model!Z92</f>
        <v>-601.2378181</v>
      </c>
      <c r="AA7" s="177">
        <f>Model!AA92</f>
        <v>-567.1416684</v>
      </c>
      <c r="AB7" s="177">
        <f>Model!AB92</f>
        <v>-1210.138917</v>
      </c>
      <c r="AC7" s="177">
        <f>Model!AC92</f>
        <v>-5063.183245</v>
      </c>
      <c r="AD7" s="177">
        <f>Model!AD92</f>
        <v>472.0975615</v>
      </c>
      <c r="AE7" s="177">
        <f>Model!AE92</f>
        <v>125.7839606</v>
      </c>
      <c r="AF7" s="177">
        <f>Model!AF92</f>
        <v>2892.142701</v>
      </c>
      <c r="AG7" s="177">
        <f>Model!AG92</f>
        <v>2888.391049</v>
      </c>
      <c r="AH7" s="177">
        <f>Model!AH92</f>
        <v>6064.801389</v>
      </c>
      <c r="AI7" s="177">
        <f>Model!AI92</f>
        <v>7594.454339</v>
      </c>
      <c r="AJ7" s="177">
        <f>Model!AJ92</f>
        <v>7748.503306</v>
      </c>
      <c r="AK7" s="177">
        <f>Model!AK92</f>
        <v>11137.83543</v>
      </c>
      <c r="AL7" s="177">
        <f>Model!AL92</f>
        <v>11591.74216</v>
      </c>
      <c r="AM7" s="177">
        <f>Model!AM92</f>
        <v>15334.83464</v>
      </c>
      <c r="AN7" s="177">
        <f>Model!AN92</f>
        <v>17681.54868</v>
      </c>
      <c r="AO7" s="177">
        <f>Model!AO92</f>
        <v>15047.24089</v>
      </c>
      <c r="AP7" s="177">
        <f>Model!AP92</f>
        <v>22877.7118</v>
      </c>
      <c r="AQ7" s="177">
        <f>Model!AQ92</f>
        <v>24101.25464</v>
      </c>
      <c r="AR7" s="177">
        <f>Model!AR92</f>
        <v>28752.7196</v>
      </c>
      <c r="AS7" s="177">
        <f>Model!AS92</f>
        <v>30292.31516</v>
      </c>
      <c r="AT7" s="177">
        <f>Model!AT92</f>
        <v>35316.95947</v>
      </c>
      <c r="AU7" s="177">
        <f>Model!AU92</f>
        <v>37962.39753</v>
      </c>
      <c r="AV7" s="177">
        <f>Model!AV92</f>
        <v>39060.26917</v>
      </c>
      <c r="AW7" s="177">
        <f>Model!AW92</f>
        <v>43686.97843</v>
      </c>
      <c r="AX7" s="177">
        <f>Model!AX92</f>
        <v>45053.37728</v>
      </c>
      <c r="AY7" s="177">
        <f>Model!AY92</f>
        <v>49995.62715</v>
      </c>
      <c r="AZ7" s="177">
        <f>Model!AZ92</f>
        <v>53371.17175</v>
      </c>
      <c r="BA7" s="177">
        <f>Model!BA92</f>
        <v>53276.76178</v>
      </c>
      <c r="BB7" s="177">
        <f>Model!BB92</f>
        <v>60569.14239</v>
      </c>
      <c r="BC7" s="177">
        <f>Model!BC92</f>
        <v>62620.96667</v>
      </c>
      <c r="BD7" s="177">
        <f>Model!BD92</f>
        <v>68368.94549</v>
      </c>
      <c r="BE7" s="177">
        <f>Model!BE92</f>
        <v>70700.6965</v>
      </c>
      <c r="BF7" s="177">
        <f>Model!BF92</f>
        <v>76777.85379</v>
      </c>
      <c r="BG7" s="177">
        <f>Model!BG92</f>
        <v>80278.25145</v>
      </c>
      <c r="BH7" s="177">
        <f>Model!BH92</f>
        <v>82101.42806</v>
      </c>
      <c r="BI7" s="177">
        <f>Model!BI92</f>
        <v>87745.12668</v>
      </c>
      <c r="BJ7" s="177">
        <f>Model!BJ92</f>
        <v>89856.70335</v>
      </c>
      <c r="BK7" s="177">
        <f>Model!BK92</f>
        <v>95839.71753</v>
      </c>
      <c r="BL7" s="177">
        <f>Model!BL92</f>
        <v>100124.7833</v>
      </c>
      <c r="BM7" s="177">
        <f>Model!BM92</f>
        <v>98481.25805</v>
      </c>
      <c r="BN7" s="177">
        <f>Model!BN92</f>
        <v>109175.265</v>
      </c>
      <c r="BO7" s="177">
        <f>Model!BO92</f>
        <v>112023.1202</v>
      </c>
      <c r="BP7" s="177">
        <f>Model!BP92</f>
        <v>118872.7015</v>
      </c>
      <c r="BQ7" s="177">
        <f>Model!BQ92</f>
        <v>122021.3024</v>
      </c>
      <c r="BR7" s="177">
        <f>Model!BR92</f>
        <v>129224.9691</v>
      </c>
    </row>
    <row r="8">
      <c r="A8" s="170"/>
      <c r="B8" s="213" t="s">
        <v>194</v>
      </c>
      <c r="C8" s="179"/>
      <c r="D8" s="179"/>
      <c r="E8" s="214">
        <f t="shared" ref="E8:I8" si="3">INDEX($K8:$BR8,,MATCH(E$2,$K$2:$BR$2,0)+11)</f>
        <v>32582.96237</v>
      </c>
      <c r="F8" s="214">
        <f t="shared" si="3"/>
        <v>45337.89104</v>
      </c>
      <c r="G8" s="214">
        <f t="shared" si="3"/>
        <v>50085.36068</v>
      </c>
      <c r="H8" s="214">
        <f t="shared" si="3"/>
        <v>54242.42092</v>
      </c>
      <c r="I8" s="214">
        <f t="shared" si="3"/>
        <v>58744.5151</v>
      </c>
      <c r="J8" s="170"/>
      <c r="K8" s="177">
        <f>Model!K93</f>
        <v>12749.85484</v>
      </c>
      <c r="L8" s="177">
        <f>Model!L93</f>
        <v>16590.55185</v>
      </c>
      <c r="M8" s="177">
        <f>Model!M93</f>
        <v>17708.13172</v>
      </c>
      <c r="N8" s="177">
        <f>Model!N93</f>
        <v>20006.2537</v>
      </c>
      <c r="O8" s="177">
        <f>Model!O93</f>
        <v>21013.64964</v>
      </c>
      <c r="P8" s="177">
        <f>Model!P93</f>
        <v>22666.4086</v>
      </c>
      <c r="Q8" s="177">
        <f>Model!Q93</f>
        <v>26924.79266</v>
      </c>
      <c r="R8" s="177">
        <f>Model!R93</f>
        <v>25971.92652</v>
      </c>
      <c r="S8" s="177">
        <f>Model!S93</f>
        <v>28545.50833</v>
      </c>
      <c r="T8" s="177">
        <f>Model!T93</f>
        <v>29277.44444</v>
      </c>
      <c r="U8" s="177">
        <f>Model!U93</f>
        <v>31961.21019</v>
      </c>
      <c r="V8" s="177">
        <f>Model!V93</f>
        <v>32582.96237</v>
      </c>
      <c r="W8" s="177">
        <f>Model!W93</f>
        <v>34235.72133</v>
      </c>
      <c r="X8" s="177">
        <f>Model!X93</f>
        <v>37084.76296</v>
      </c>
      <c r="Y8" s="177">
        <f>Model!Y93</f>
        <v>37541.23925</v>
      </c>
      <c r="Z8" s="177">
        <f>Model!Z93</f>
        <v>40500.46481</v>
      </c>
      <c r="AA8" s="177">
        <f>Model!AA93</f>
        <v>40846.75717</v>
      </c>
      <c r="AB8" s="177">
        <f>Model!AB93</f>
        <v>42499.51613</v>
      </c>
      <c r="AC8" s="177">
        <f>Model!AC93</f>
        <v>47562.77693</v>
      </c>
      <c r="AD8" s="177">
        <f>Model!AD93</f>
        <v>43425.32677</v>
      </c>
      <c r="AE8" s="177">
        <f>Model!AE93</f>
        <v>45358.96007</v>
      </c>
      <c r="AF8" s="177">
        <f>Model!AF93</f>
        <v>44371.30529</v>
      </c>
      <c r="AG8" s="177">
        <f>Model!AG93</f>
        <v>46347.06092</v>
      </c>
      <c r="AH8" s="177">
        <f>Model!AH93</f>
        <v>45337.89104</v>
      </c>
      <c r="AI8" s="177">
        <f>Model!AI93</f>
        <v>45715.7068</v>
      </c>
      <c r="AJ8" s="177">
        <f>Model!AJ93</f>
        <v>47633.22672</v>
      </c>
      <c r="AK8" s="177">
        <f>Model!AK93</f>
        <v>46480.80995</v>
      </c>
      <c r="AL8" s="177">
        <f>Model!AL93</f>
        <v>48430.4217</v>
      </c>
      <c r="AM8" s="177">
        <f>Model!AM93</f>
        <v>47258.71795</v>
      </c>
      <c r="AN8" s="177">
        <f>Model!AN93</f>
        <v>47652.5406</v>
      </c>
      <c r="AO8" s="177">
        <f>Model!AO93</f>
        <v>53197.82136</v>
      </c>
      <c r="AP8" s="177">
        <f>Model!AP93</f>
        <v>48450.05881</v>
      </c>
      <c r="AQ8" s="177">
        <f>Model!AQ93</f>
        <v>50482.26961</v>
      </c>
      <c r="AR8" s="177">
        <f>Model!AR93</f>
        <v>49260.92438</v>
      </c>
      <c r="AS8" s="177">
        <f>Model!AS93</f>
        <v>51327.14648</v>
      </c>
      <c r="AT8" s="177">
        <f>Model!AT93</f>
        <v>50085.36068</v>
      </c>
      <c r="AU8" s="177">
        <f>Model!AU93</f>
        <v>50419.26309</v>
      </c>
      <c r="AV8" s="177">
        <f>Model!AV93</f>
        <v>52447.23789</v>
      </c>
      <c r="AW8" s="177">
        <f>Model!AW93</f>
        <v>51093.76078</v>
      </c>
      <c r="AX8" s="177">
        <f>Model!AX93</f>
        <v>53148.86539</v>
      </c>
      <c r="AY8" s="177">
        <f>Model!AY93</f>
        <v>51777.28176</v>
      </c>
      <c r="AZ8" s="177">
        <f>Model!AZ93</f>
        <v>52122.46364</v>
      </c>
      <c r="BA8" s="177">
        <f>Model!BA93</f>
        <v>56088.56375</v>
      </c>
      <c r="BB8" s="177">
        <f>Model!BB93</f>
        <v>52819.74638</v>
      </c>
      <c r="BC8" s="177">
        <f>Model!BC93</f>
        <v>54944.27395</v>
      </c>
      <c r="BD8" s="177">
        <f>Model!BD93</f>
        <v>53526.35721</v>
      </c>
      <c r="BE8" s="177">
        <f>Model!BE93</f>
        <v>55679.30624</v>
      </c>
      <c r="BF8" s="177">
        <f>Model!BF93</f>
        <v>54242.42092</v>
      </c>
      <c r="BG8" s="177">
        <f>Model!BG93</f>
        <v>54604.03706</v>
      </c>
      <c r="BH8" s="177">
        <f>Model!BH93</f>
        <v>56800.33277</v>
      </c>
      <c r="BI8" s="177">
        <f>Model!BI93</f>
        <v>55334.51773</v>
      </c>
      <c r="BJ8" s="177">
        <f>Model!BJ93</f>
        <v>57560.195</v>
      </c>
      <c r="BK8" s="177">
        <f>Model!BK93</f>
        <v>56074.77061</v>
      </c>
      <c r="BL8" s="177">
        <f>Model!BL93</f>
        <v>56448.60242</v>
      </c>
      <c r="BM8" s="177">
        <f>Model!BM93</f>
        <v>62913.31141</v>
      </c>
      <c r="BN8" s="177">
        <f>Model!BN93</f>
        <v>57203.75928</v>
      </c>
      <c r="BO8" s="177">
        <f>Model!BO93</f>
        <v>59504.62159</v>
      </c>
      <c r="BP8" s="177">
        <f>Model!BP93</f>
        <v>57969.01846</v>
      </c>
      <c r="BQ8" s="177">
        <f>Model!BQ93</f>
        <v>60300.6612</v>
      </c>
      <c r="BR8" s="177">
        <f>Model!BR93</f>
        <v>58744.5151</v>
      </c>
    </row>
    <row r="9">
      <c r="A9" s="170"/>
      <c r="B9" s="215" t="s">
        <v>195</v>
      </c>
      <c r="C9" s="179"/>
      <c r="D9" s="179"/>
      <c r="E9" s="214">
        <f t="shared" ref="E9:I9" si="4">INDEX($K9:$BR9,,MATCH(E$2,$K$2:$BR$2,0)+11)</f>
        <v>21253.0183</v>
      </c>
      <c r="F9" s="214">
        <f t="shared" si="4"/>
        <v>29572.7263</v>
      </c>
      <c r="G9" s="214">
        <f t="shared" si="4"/>
        <v>32669.37718</v>
      </c>
      <c r="H9" s="214">
        <f t="shared" si="4"/>
        <v>35380.91938</v>
      </c>
      <c r="I9" s="214">
        <f t="shared" si="4"/>
        <v>38317.51823</v>
      </c>
      <c r="J9" s="170"/>
      <c r="K9" s="177">
        <f>Model!K94</f>
        <v>8316.398466</v>
      </c>
      <c r="L9" s="177">
        <f>Model!L94</f>
        <v>10472.50177</v>
      </c>
      <c r="M9" s="177">
        <f>Model!M94</f>
        <v>11550.55342</v>
      </c>
      <c r="N9" s="177">
        <f>Model!N94</f>
        <v>12628.60508</v>
      </c>
      <c r="O9" s="177">
        <f>Model!O94</f>
        <v>13706.65673</v>
      </c>
      <c r="P9" s="177">
        <f>Model!P94</f>
        <v>14784.70838</v>
      </c>
      <c r="Q9" s="177">
        <f>Model!Q94</f>
        <v>15862.76004</v>
      </c>
      <c r="R9" s="177">
        <f>Model!R94</f>
        <v>16940.81169</v>
      </c>
      <c r="S9" s="177">
        <f>Model!S94</f>
        <v>18018.86334</v>
      </c>
      <c r="T9" s="177">
        <f>Model!T94</f>
        <v>19096.915</v>
      </c>
      <c r="U9" s="177">
        <f>Model!U94</f>
        <v>20174.96665</v>
      </c>
      <c r="V9" s="177">
        <f>Model!V94</f>
        <v>21253.0183</v>
      </c>
      <c r="W9" s="177">
        <f>Model!W94</f>
        <v>22331.06995</v>
      </c>
      <c r="X9" s="177">
        <f>Model!X94</f>
        <v>23409.12161</v>
      </c>
      <c r="Y9" s="177">
        <f>Model!Y94</f>
        <v>24487.17326</v>
      </c>
      <c r="Z9" s="177">
        <f>Model!Z94</f>
        <v>25565.22491</v>
      </c>
      <c r="AA9" s="177">
        <f>Model!AA94</f>
        <v>26643.27657</v>
      </c>
      <c r="AB9" s="177">
        <f>Model!AB94</f>
        <v>27721.32822</v>
      </c>
      <c r="AC9" s="177">
        <f>Model!AC94</f>
        <v>28021.64261</v>
      </c>
      <c r="AD9" s="177">
        <f>Model!AD94</f>
        <v>28325.2104</v>
      </c>
      <c r="AE9" s="177">
        <f>Model!AE94</f>
        <v>28632.06685</v>
      </c>
      <c r="AF9" s="177">
        <f>Model!AF94</f>
        <v>28942.24757</v>
      </c>
      <c r="AG9" s="177">
        <f>Model!AG94</f>
        <v>29255.78859</v>
      </c>
      <c r="AH9" s="177">
        <f>Model!AH94</f>
        <v>29572.7263</v>
      </c>
      <c r="AI9" s="177">
        <f>Model!AI94</f>
        <v>29819.16568</v>
      </c>
      <c r="AJ9" s="177">
        <f>Model!AJ94</f>
        <v>30067.65873</v>
      </c>
      <c r="AK9" s="177">
        <f>Model!AK94</f>
        <v>30318.22255</v>
      </c>
      <c r="AL9" s="177">
        <f>Model!AL94</f>
        <v>30570.87441</v>
      </c>
      <c r="AM9" s="177">
        <f>Model!AM94</f>
        <v>30825.6317</v>
      </c>
      <c r="AN9" s="177">
        <f>Model!AN94</f>
        <v>31082.51196</v>
      </c>
      <c r="AO9" s="177">
        <f>Model!AO94</f>
        <v>31341.53289</v>
      </c>
      <c r="AP9" s="177">
        <f>Model!AP94</f>
        <v>31602.71233</v>
      </c>
      <c r="AQ9" s="177">
        <f>Model!AQ94</f>
        <v>31866.06827</v>
      </c>
      <c r="AR9" s="177">
        <f>Model!AR94</f>
        <v>32131.61884</v>
      </c>
      <c r="AS9" s="177">
        <f>Model!AS94</f>
        <v>32399.38233</v>
      </c>
      <c r="AT9" s="177">
        <f>Model!AT94</f>
        <v>32669.37718</v>
      </c>
      <c r="AU9" s="177">
        <f>Model!AU94</f>
        <v>32887.17303</v>
      </c>
      <c r="AV9" s="177">
        <f>Model!AV94</f>
        <v>33106.42085</v>
      </c>
      <c r="AW9" s="177">
        <f>Model!AW94</f>
        <v>33327.13032</v>
      </c>
      <c r="AX9" s="177">
        <f>Model!AX94</f>
        <v>33549.31119</v>
      </c>
      <c r="AY9" s="177">
        <f>Model!AY94</f>
        <v>33772.97327</v>
      </c>
      <c r="AZ9" s="177">
        <f>Model!AZ94</f>
        <v>33998.12642</v>
      </c>
      <c r="BA9" s="177">
        <f>Model!BA94</f>
        <v>34224.7806</v>
      </c>
      <c r="BB9" s="177">
        <f>Model!BB94</f>
        <v>34452.9458</v>
      </c>
      <c r="BC9" s="177">
        <f>Model!BC94</f>
        <v>34682.63211</v>
      </c>
      <c r="BD9" s="177">
        <f>Model!BD94</f>
        <v>34913.84965</v>
      </c>
      <c r="BE9" s="177">
        <f>Model!BE94</f>
        <v>35146.60865</v>
      </c>
      <c r="BF9" s="177">
        <f>Model!BF94</f>
        <v>35380.91938</v>
      </c>
      <c r="BG9" s="177">
        <f>Model!BG94</f>
        <v>35616.79217</v>
      </c>
      <c r="BH9" s="177">
        <f>Model!BH94</f>
        <v>35854.23745</v>
      </c>
      <c r="BI9" s="177">
        <f>Model!BI94</f>
        <v>36093.2657</v>
      </c>
      <c r="BJ9" s="177">
        <f>Model!BJ94</f>
        <v>36333.88747</v>
      </c>
      <c r="BK9" s="177">
        <f>Model!BK94</f>
        <v>36576.11339</v>
      </c>
      <c r="BL9" s="177">
        <f>Model!BL94</f>
        <v>36819.95415</v>
      </c>
      <c r="BM9" s="177">
        <f>Model!BM94</f>
        <v>37065.42051</v>
      </c>
      <c r="BN9" s="177">
        <f>Model!BN94</f>
        <v>37312.52331</v>
      </c>
      <c r="BO9" s="177">
        <f>Model!BO94</f>
        <v>37561.27347</v>
      </c>
      <c r="BP9" s="177">
        <f>Model!BP94</f>
        <v>37811.68196</v>
      </c>
      <c r="BQ9" s="177">
        <f>Model!BQ94</f>
        <v>38063.75984</v>
      </c>
      <c r="BR9" s="177">
        <f>Model!BR94</f>
        <v>38317.51823</v>
      </c>
    </row>
    <row r="10">
      <c r="A10" s="170"/>
      <c r="B10" s="213"/>
      <c r="C10" s="175"/>
      <c r="D10" s="175"/>
      <c r="E10" s="182"/>
      <c r="F10" s="182"/>
      <c r="G10" s="182"/>
      <c r="H10" s="182"/>
      <c r="I10" s="182"/>
      <c r="J10" s="170"/>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2"/>
      <c r="BQ10" s="182"/>
      <c r="BR10" s="182"/>
    </row>
    <row r="11">
      <c r="A11" s="170"/>
      <c r="B11" s="212" t="s">
        <v>196</v>
      </c>
      <c r="C11" s="170"/>
      <c r="D11" s="170"/>
      <c r="E11" s="170">
        <f t="shared" ref="E11:I11" si="5">SUM(E7:E9)</f>
        <v>65924.42337</v>
      </c>
      <c r="F11" s="170">
        <f t="shared" si="5"/>
        <v>80975.41873</v>
      </c>
      <c r="G11" s="170">
        <f t="shared" si="5"/>
        <v>118071.6973</v>
      </c>
      <c r="H11" s="170">
        <f t="shared" si="5"/>
        <v>166401.1941</v>
      </c>
      <c r="I11" s="170">
        <f t="shared" si="5"/>
        <v>226287.0024</v>
      </c>
      <c r="J11" s="170"/>
      <c r="K11" s="170">
        <f t="shared" ref="K11:BR11" si="6">SUM(K7:K9)</f>
        <v>119306.5447</v>
      </c>
      <c r="L11" s="170">
        <f t="shared" si="6"/>
        <v>112353.7563</v>
      </c>
      <c r="M11" s="170">
        <f t="shared" si="6"/>
        <v>104955.4969</v>
      </c>
      <c r="N11" s="170">
        <f t="shared" si="6"/>
        <v>98169.53212</v>
      </c>
      <c r="O11" s="170">
        <f t="shared" si="6"/>
        <v>91995.86208</v>
      </c>
      <c r="P11" s="170">
        <f t="shared" si="6"/>
        <v>86434.48674</v>
      </c>
      <c r="Q11" s="170">
        <f t="shared" si="6"/>
        <v>81485.40609</v>
      </c>
      <c r="R11" s="170">
        <f t="shared" si="6"/>
        <v>77148.62015</v>
      </c>
      <c r="S11" s="170">
        <f t="shared" si="6"/>
        <v>73424.12891</v>
      </c>
      <c r="T11" s="170">
        <f t="shared" si="6"/>
        <v>70311.93236</v>
      </c>
      <c r="U11" s="170">
        <f t="shared" si="6"/>
        <v>67812.03051</v>
      </c>
      <c r="V11" s="170">
        <f t="shared" si="6"/>
        <v>65924.42337</v>
      </c>
      <c r="W11" s="170">
        <f t="shared" si="6"/>
        <v>64865.37069</v>
      </c>
      <c r="X11" s="170">
        <f t="shared" si="6"/>
        <v>64435.69122</v>
      </c>
      <c r="Y11" s="170">
        <f t="shared" si="6"/>
        <v>64635.38496</v>
      </c>
      <c r="Z11" s="170">
        <f t="shared" si="6"/>
        <v>65464.45191</v>
      </c>
      <c r="AA11" s="170">
        <f t="shared" si="6"/>
        <v>66922.89207</v>
      </c>
      <c r="AB11" s="170">
        <f t="shared" si="6"/>
        <v>69010.70543</v>
      </c>
      <c r="AC11" s="170">
        <f t="shared" si="6"/>
        <v>70521.2363</v>
      </c>
      <c r="AD11" s="170">
        <f t="shared" si="6"/>
        <v>72222.63473</v>
      </c>
      <c r="AE11" s="170">
        <f t="shared" si="6"/>
        <v>74116.81088</v>
      </c>
      <c r="AF11" s="170">
        <f t="shared" si="6"/>
        <v>76205.69557</v>
      </c>
      <c r="AG11" s="170">
        <f t="shared" si="6"/>
        <v>78491.24055</v>
      </c>
      <c r="AH11" s="170">
        <f t="shared" si="6"/>
        <v>80975.41873</v>
      </c>
      <c r="AI11" s="170">
        <f t="shared" si="6"/>
        <v>83129.32682</v>
      </c>
      <c r="AJ11" s="170">
        <f t="shared" si="6"/>
        <v>85449.38876</v>
      </c>
      <c r="AK11" s="170">
        <f t="shared" si="6"/>
        <v>87936.86793</v>
      </c>
      <c r="AL11" s="170">
        <f t="shared" si="6"/>
        <v>90593.03826</v>
      </c>
      <c r="AM11" s="170">
        <f t="shared" si="6"/>
        <v>93419.18428</v>
      </c>
      <c r="AN11" s="170">
        <f t="shared" si="6"/>
        <v>96416.60123</v>
      </c>
      <c r="AO11" s="170">
        <f t="shared" si="6"/>
        <v>99586.59515</v>
      </c>
      <c r="AP11" s="170">
        <f t="shared" si="6"/>
        <v>102930.4829</v>
      </c>
      <c r="AQ11" s="170">
        <f t="shared" si="6"/>
        <v>106449.5925</v>
      </c>
      <c r="AR11" s="170">
        <f t="shared" si="6"/>
        <v>110145.2628</v>
      </c>
      <c r="AS11" s="170">
        <f t="shared" si="6"/>
        <v>114018.844</v>
      </c>
      <c r="AT11" s="170">
        <f t="shared" si="6"/>
        <v>118071.6973</v>
      </c>
      <c r="AU11" s="170">
        <f t="shared" si="6"/>
        <v>121268.8336</v>
      </c>
      <c r="AV11" s="170">
        <f t="shared" si="6"/>
        <v>124613.9279</v>
      </c>
      <c r="AW11" s="170">
        <f t="shared" si="6"/>
        <v>128107.8695</v>
      </c>
      <c r="AX11" s="170">
        <f t="shared" si="6"/>
        <v>131751.5539</v>
      </c>
      <c r="AY11" s="170">
        <f t="shared" si="6"/>
        <v>135545.8822</v>
      </c>
      <c r="AZ11" s="170">
        <f t="shared" si="6"/>
        <v>139491.7618</v>
      </c>
      <c r="BA11" s="170">
        <f t="shared" si="6"/>
        <v>143590.1061</v>
      </c>
      <c r="BB11" s="170">
        <f t="shared" si="6"/>
        <v>147841.8346</v>
      </c>
      <c r="BC11" s="170">
        <f t="shared" si="6"/>
        <v>152247.8727</v>
      </c>
      <c r="BD11" s="170">
        <f t="shared" si="6"/>
        <v>156809.1523</v>
      </c>
      <c r="BE11" s="170">
        <f t="shared" si="6"/>
        <v>161526.6114</v>
      </c>
      <c r="BF11" s="170">
        <f t="shared" si="6"/>
        <v>166401.1941</v>
      </c>
      <c r="BG11" s="170">
        <f t="shared" si="6"/>
        <v>170499.0807</v>
      </c>
      <c r="BH11" s="170">
        <f t="shared" si="6"/>
        <v>174755.9983</v>
      </c>
      <c r="BI11" s="170">
        <f t="shared" si="6"/>
        <v>179172.9101</v>
      </c>
      <c r="BJ11" s="170">
        <f t="shared" si="6"/>
        <v>183750.7858</v>
      </c>
      <c r="BK11" s="170">
        <f t="shared" si="6"/>
        <v>188490.6015</v>
      </c>
      <c r="BL11" s="170">
        <f t="shared" si="6"/>
        <v>193393.3399</v>
      </c>
      <c r="BM11" s="170">
        <f t="shared" si="6"/>
        <v>198459.99</v>
      </c>
      <c r="BN11" s="170">
        <f t="shared" si="6"/>
        <v>203691.5476</v>
      </c>
      <c r="BO11" s="170">
        <f t="shared" si="6"/>
        <v>209089.0153</v>
      </c>
      <c r="BP11" s="170">
        <f t="shared" si="6"/>
        <v>214653.4019</v>
      </c>
      <c r="BQ11" s="170">
        <f t="shared" si="6"/>
        <v>220385.7234</v>
      </c>
      <c r="BR11" s="170">
        <f t="shared" si="6"/>
        <v>226287.0024</v>
      </c>
    </row>
    <row r="12">
      <c r="A12" s="170"/>
      <c r="B12" s="213"/>
      <c r="C12" s="187"/>
      <c r="D12" s="187"/>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row>
    <row r="13">
      <c r="A13" s="170"/>
      <c r="B13" s="212" t="s">
        <v>197</v>
      </c>
      <c r="C13" s="216"/>
      <c r="D13" s="216"/>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row>
    <row r="14">
      <c r="A14" s="170"/>
      <c r="B14" s="213" t="s">
        <v>198</v>
      </c>
      <c r="C14" s="170"/>
      <c r="D14" s="170"/>
      <c r="E14" s="214">
        <f t="shared" ref="E14:I14" si="7">INDEX($K14:$BR14,,MATCH(E$2,$K$2:$BR$2,0)+11)</f>
        <v>177825</v>
      </c>
      <c r="F14" s="214">
        <f t="shared" si="7"/>
        <v>177825</v>
      </c>
      <c r="G14" s="214">
        <f t="shared" si="7"/>
        <v>177825</v>
      </c>
      <c r="H14" s="214">
        <f t="shared" si="7"/>
        <v>177825</v>
      </c>
      <c r="I14" s="214">
        <f t="shared" si="7"/>
        <v>177825</v>
      </c>
      <c r="J14" s="170"/>
      <c r="K14" s="177">
        <f>Model!K239+J14</f>
        <v>177825</v>
      </c>
      <c r="L14" s="177">
        <f>Model!L239+K14</f>
        <v>177825</v>
      </c>
      <c r="M14" s="177">
        <f>Model!M239+L14</f>
        <v>177825</v>
      </c>
      <c r="N14" s="177">
        <f>Model!N239+M14</f>
        <v>177825</v>
      </c>
      <c r="O14" s="177">
        <f>Model!O239+N14</f>
        <v>177825</v>
      </c>
      <c r="P14" s="177">
        <f>Model!P239+O14</f>
        <v>177825</v>
      </c>
      <c r="Q14" s="177">
        <f>Model!Q239+P14</f>
        <v>177825</v>
      </c>
      <c r="R14" s="177">
        <f>Model!R239+Q14</f>
        <v>177825</v>
      </c>
      <c r="S14" s="177">
        <f>Model!S239+R14</f>
        <v>177825</v>
      </c>
      <c r="T14" s="177">
        <f>Model!T239+S14</f>
        <v>177825</v>
      </c>
      <c r="U14" s="177">
        <f>Model!U239+T14</f>
        <v>177825</v>
      </c>
      <c r="V14" s="177">
        <f>Model!V239+U14</f>
        <v>177825</v>
      </c>
      <c r="W14" s="177">
        <f>Model!W239+V14</f>
        <v>177825</v>
      </c>
      <c r="X14" s="177">
        <f>Model!X239+W14</f>
        <v>177825</v>
      </c>
      <c r="Y14" s="177">
        <f>Model!Y239+X14</f>
        <v>177825</v>
      </c>
      <c r="Z14" s="177">
        <f>Model!Z239+Y14</f>
        <v>177825</v>
      </c>
      <c r="AA14" s="177">
        <f>Model!AA239+Z14</f>
        <v>177825</v>
      </c>
      <c r="AB14" s="177">
        <f>Model!AB239+AA14</f>
        <v>177825</v>
      </c>
      <c r="AC14" s="177">
        <f>Model!AC239+AB14</f>
        <v>177825</v>
      </c>
      <c r="AD14" s="177">
        <f>Model!AD239+AC14</f>
        <v>177825</v>
      </c>
      <c r="AE14" s="177">
        <f>Model!AE239+AD14</f>
        <v>177825</v>
      </c>
      <c r="AF14" s="177">
        <f>Model!AF239+AE14</f>
        <v>177825</v>
      </c>
      <c r="AG14" s="177">
        <f>Model!AG239+AF14</f>
        <v>177825</v>
      </c>
      <c r="AH14" s="177">
        <f>Model!AH239+AG14</f>
        <v>177825</v>
      </c>
      <c r="AI14" s="177">
        <f>Model!AI239+AH14</f>
        <v>177825</v>
      </c>
      <c r="AJ14" s="177">
        <f>Model!AJ239+AI14</f>
        <v>177825</v>
      </c>
      <c r="AK14" s="177">
        <f>Model!AK239+AJ14</f>
        <v>177825</v>
      </c>
      <c r="AL14" s="177">
        <f>Model!AL239+AK14</f>
        <v>177825</v>
      </c>
      <c r="AM14" s="177">
        <f>Model!AM239+AL14</f>
        <v>177825</v>
      </c>
      <c r="AN14" s="177">
        <f>Model!AN239+AM14</f>
        <v>177825</v>
      </c>
      <c r="AO14" s="177">
        <f>Model!AO239+AN14</f>
        <v>177825</v>
      </c>
      <c r="AP14" s="177">
        <f>Model!AP239+AO14</f>
        <v>177825</v>
      </c>
      <c r="AQ14" s="177">
        <f>Model!AQ239+AP14</f>
        <v>177825</v>
      </c>
      <c r="AR14" s="177">
        <f>Model!AR239+AQ14</f>
        <v>177825</v>
      </c>
      <c r="AS14" s="177">
        <f>Model!AS239+AR14</f>
        <v>177825</v>
      </c>
      <c r="AT14" s="177">
        <f>Model!AT239+AS14</f>
        <v>177825</v>
      </c>
      <c r="AU14" s="177">
        <f>Model!AU239+AT14</f>
        <v>177825</v>
      </c>
      <c r="AV14" s="177">
        <f>Model!AV239+AU14</f>
        <v>177825</v>
      </c>
      <c r="AW14" s="177">
        <f>Model!AW239+AV14</f>
        <v>177825</v>
      </c>
      <c r="AX14" s="177">
        <f>Model!AX239+AW14</f>
        <v>177825</v>
      </c>
      <c r="AY14" s="177">
        <f>Model!AY239+AX14</f>
        <v>177825</v>
      </c>
      <c r="AZ14" s="177">
        <f>Model!AZ239+AY14</f>
        <v>177825</v>
      </c>
      <c r="BA14" s="177">
        <f>Model!BA239+AZ14</f>
        <v>177825</v>
      </c>
      <c r="BB14" s="177">
        <f>Model!BB239+BA14</f>
        <v>177825</v>
      </c>
      <c r="BC14" s="177">
        <f>Model!BC239+BB14</f>
        <v>177825</v>
      </c>
      <c r="BD14" s="177">
        <f>Model!BD239+BC14</f>
        <v>177825</v>
      </c>
      <c r="BE14" s="177">
        <f>Model!BE239+BD14</f>
        <v>177825</v>
      </c>
      <c r="BF14" s="177">
        <f>Model!BF239+BE14</f>
        <v>177825</v>
      </c>
      <c r="BG14" s="177">
        <f>Model!BG239+BF14</f>
        <v>177825</v>
      </c>
      <c r="BH14" s="177">
        <f>Model!BH239+BG14</f>
        <v>177825</v>
      </c>
      <c r="BI14" s="177">
        <f>Model!BI239+BH14</f>
        <v>177825</v>
      </c>
      <c r="BJ14" s="177">
        <f>Model!BJ239+BI14</f>
        <v>177825</v>
      </c>
      <c r="BK14" s="177">
        <f>Model!BK239+BJ14</f>
        <v>177825</v>
      </c>
      <c r="BL14" s="177">
        <f>Model!BL239+BK14</f>
        <v>177825</v>
      </c>
      <c r="BM14" s="177">
        <f>Model!BM239+BL14</f>
        <v>177825</v>
      </c>
      <c r="BN14" s="177">
        <f>Model!BN239+BM14</f>
        <v>177825</v>
      </c>
      <c r="BO14" s="177">
        <f>Model!BO239+BN14</f>
        <v>177825</v>
      </c>
      <c r="BP14" s="177">
        <f>Model!BP239+BO14</f>
        <v>177825</v>
      </c>
      <c r="BQ14" s="177">
        <f>Model!BQ239+BP14</f>
        <v>177825</v>
      </c>
      <c r="BR14" s="177">
        <f>Model!BR239+BQ14</f>
        <v>177825</v>
      </c>
    </row>
    <row r="15">
      <c r="A15" s="170"/>
      <c r="B15" s="213" t="s">
        <v>199</v>
      </c>
      <c r="C15" s="175"/>
      <c r="D15" s="175"/>
      <c r="E15" s="214">
        <f t="shared" ref="E15:I15" si="8">INDEX($K15:$BR15,,MATCH(E$2,$K$2:$BR$2,0)+11)</f>
        <v>-44456.25</v>
      </c>
      <c r="F15" s="214">
        <f t="shared" si="8"/>
        <v>-88912.5</v>
      </c>
      <c r="G15" s="214">
        <f t="shared" si="8"/>
        <v>-133368.75</v>
      </c>
      <c r="H15" s="214">
        <f t="shared" si="8"/>
        <v>-177825</v>
      </c>
      <c r="I15" s="214">
        <f t="shared" si="8"/>
        <v>-177825</v>
      </c>
      <c r="J15" s="170"/>
      <c r="K15" s="177">
        <f>Model!K241+J15</f>
        <v>-3704.6875</v>
      </c>
      <c r="L15" s="177">
        <f>Model!L241+K15</f>
        <v>-7409.375</v>
      </c>
      <c r="M15" s="177">
        <f>Model!M241+L15</f>
        <v>-11114.0625</v>
      </c>
      <c r="N15" s="177">
        <f>Model!N241+M15</f>
        <v>-14818.75</v>
      </c>
      <c r="O15" s="177">
        <f>Model!O241+N15</f>
        <v>-18523.4375</v>
      </c>
      <c r="P15" s="177">
        <f>Model!P241+O15</f>
        <v>-22228.125</v>
      </c>
      <c r="Q15" s="177">
        <f>Model!Q241+P15</f>
        <v>-25932.8125</v>
      </c>
      <c r="R15" s="177">
        <f>Model!R241+Q15</f>
        <v>-29637.5</v>
      </c>
      <c r="S15" s="177">
        <f>Model!S241+R15</f>
        <v>-33342.1875</v>
      </c>
      <c r="T15" s="177">
        <f>Model!T241+S15</f>
        <v>-37046.875</v>
      </c>
      <c r="U15" s="177">
        <f>Model!U241+T15</f>
        <v>-40751.5625</v>
      </c>
      <c r="V15" s="177">
        <f>Model!V241+U15</f>
        <v>-44456.25</v>
      </c>
      <c r="W15" s="177">
        <f>Model!W241+V15</f>
        <v>-48160.9375</v>
      </c>
      <c r="X15" s="177">
        <f>Model!X241+W15</f>
        <v>-51865.625</v>
      </c>
      <c r="Y15" s="177">
        <f>Model!Y241+X15</f>
        <v>-55570.3125</v>
      </c>
      <c r="Z15" s="177">
        <f>Model!Z241+Y15</f>
        <v>-59275</v>
      </c>
      <c r="AA15" s="177">
        <f>Model!AA241+Z15</f>
        <v>-62979.6875</v>
      </c>
      <c r="AB15" s="177">
        <f>Model!AB241+AA15</f>
        <v>-66684.375</v>
      </c>
      <c r="AC15" s="177">
        <f>Model!AC241+AB15</f>
        <v>-70389.0625</v>
      </c>
      <c r="AD15" s="177">
        <f>Model!AD241+AC15</f>
        <v>-74093.75</v>
      </c>
      <c r="AE15" s="177">
        <f>Model!AE241+AD15</f>
        <v>-77798.4375</v>
      </c>
      <c r="AF15" s="177">
        <f>Model!AF241+AE15</f>
        <v>-81503.125</v>
      </c>
      <c r="AG15" s="177">
        <f>Model!AG241+AF15</f>
        <v>-85207.8125</v>
      </c>
      <c r="AH15" s="177">
        <f>Model!AH241+AG15</f>
        <v>-88912.5</v>
      </c>
      <c r="AI15" s="177">
        <f>Model!AI241+AH15</f>
        <v>-92617.1875</v>
      </c>
      <c r="AJ15" s="177">
        <f>Model!AJ241+AI15</f>
        <v>-96321.875</v>
      </c>
      <c r="AK15" s="177">
        <f>Model!AK241+AJ15</f>
        <v>-100026.5625</v>
      </c>
      <c r="AL15" s="177">
        <f>Model!AL241+AK15</f>
        <v>-103731.25</v>
      </c>
      <c r="AM15" s="177">
        <f>Model!AM241+AL15</f>
        <v>-107435.9375</v>
      </c>
      <c r="AN15" s="177">
        <f>Model!AN241+AM15</f>
        <v>-111140.625</v>
      </c>
      <c r="AO15" s="177">
        <f>Model!AO241+AN15</f>
        <v>-114845.3125</v>
      </c>
      <c r="AP15" s="177">
        <f>Model!AP241+AO15</f>
        <v>-118550</v>
      </c>
      <c r="AQ15" s="177">
        <f>Model!AQ241+AP15</f>
        <v>-122254.6875</v>
      </c>
      <c r="AR15" s="177">
        <f>Model!AR241+AQ15</f>
        <v>-125959.375</v>
      </c>
      <c r="AS15" s="177">
        <f>Model!AS241+AR15</f>
        <v>-129664.0625</v>
      </c>
      <c r="AT15" s="177">
        <f>Model!AT241+AS15</f>
        <v>-133368.75</v>
      </c>
      <c r="AU15" s="177">
        <f>Model!AU241+AT15</f>
        <v>-137073.4375</v>
      </c>
      <c r="AV15" s="177">
        <f>Model!AV241+AU15</f>
        <v>-140778.125</v>
      </c>
      <c r="AW15" s="177">
        <f>Model!AW241+AV15</f>
        <v>-144482.8125</v>
      </c>
      <c r="AX15" s="177">
        <f>Model!AX241+AW15</f>
        <v>-148187.5</v>
      </c>
      <c r="AY15" s="177">
        <f>Model!AY241+AX15</f>
        <v>-151892.1875</v>
      </c>
      <c r="AZ15" s="177">
        <f>Model!AZ241+AY15</f>
        <v>-155596.875</v>
      </c>
      <c r="BA15" s="177">
        <f>Model!BA241+AZ15</f>
        <v>-159301.5625</v>
      </c>
      <c r="BB15" s="177">
        <f>Model!BB241+BA15</f>
        <v>-163006.25</v>
      </c>
      <c r="BC15" s="177">
        <f>Model!BC241+BB15</f>
        <v>-166710.9375</v>
      </c>
      <c r="BD15" s="177">
        <f>Model!BD241+BC15</f>
        <v>-170415.625</v>
      </c>
      <c r="BE15" s="177">
        <f>Model!BE241+BD15</f>
        <v>-174120.3125</v>
      </c>
      <c r="BF15" s="177">
        <f>Model!BF241+BE15</f>
        <v>-177825</v>
      </c>
      <c r="BG15" s="177">
        <f>Model!BG241+BF15</f>
        <v>-177825</v>
      </c>
      <c r="BH15" s="177">
        <f>Model!BH241+BG15</f>
        <v>-177825</v>
      </c>
      <c r="BI15" s="177">
        <f>Model!BI241+BH15</f>
        <v>-177825</v>
      </c>
      <c r="BJ15" s="177">
        <f>Model!BJ241+BI15</f>
        <v>-177825</v>
      </c>
      <c r="BK15" s="177">
        <f>Model!BK241+BJ15</f>
        <v>-177825</v>
      </c>
      <c r="BL15" s="177">
        <f>Model!BL241+BK15</f>
        <v>-177825</v>
      </c>
      <c r="BM15" s="177">
        <f>Model!BM241+BL15</f>
        <v>-177825</v>
      </c>
      <c r="BN15" s="177">
        <f>Model!BN241+BM15</f>
        <v>-177825</v>
      </c>
      <c r="BO15" s="177">
        <f>Model!BO241+BN15</f>
        <v>-177825</v>
      </c>
      <c r="BP15" s="177">
        <f>Model!BP241+BO15</f>
        <v>-177825</v>
      </c>
      <c r="BQ15" s="177">
        <f>Model!BQ241+BP15</f>
        <v>-177825</v>
      </c>
      <c r="BR15" s="177">
        <f>Model!BR241+BQ15</f>
        <v>-177825</v>
      </c>
    </row>
    <row r="16">
      <c r="A16" s="170"/>
      <c r="B16" s="213"/>
      <c r="C16" s="217"/>
      <c r="D16" s="217"/>
      <c r="E16" s="182"/>
      <c r="F16" s="182"/>
      <c r="G16" s="182"/>
      <c r="H16" s="182"/>
      <c r="I16" s="182"/>
      <c r="J16" s="170"/>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2"/>
      <c r="BD16" s="182"/>
      <c r="BE16" s="182"/>
      <c r="BF16" s="182"/>
      <c r="BG16" s="182"/>
      <c r="BH16" s="182"/>
      <c r="BI16" s="182"/>
      <c r="BJ16" s="182"/>
      <c r="BK16" s="182"/>
      <c r="BL16" s="182"/>
      <c r="BM16" s="182"/>
      <c r="BN16" s="182"/>
      <c r="BO16" s="182"/>
      <c r="BP16" s="182"/>
      <c r="BQ16" s="182"/>
      <c r="BR16" s="182"/>
    </row>
    <row r="17">
      <c r="A17" s="170"/>
      <c r="B17" s="212" t="s">
        <v>200</v>
      </c>
      <c r="C17" s="170"/>
      <c r="D17" s="170"/>
      <c r="E17" s="170">
        <f t="shared" ref="E17:I17" si="9">SUM(E14:E15)</f>
        <v>133368.75</v>
      </c>
      <c r="F17" s="170">
        <f t="shared" si="9"/>
        <v>88912.5</v>
      </c>
      <c r="G17" s="170">
        <f t="shared" si="9"/>
        <v>44456.25</v>
      </c>
      <c r="H17" s="170">
        <f t="shared" si="9"/>
        <v>0</v>
      </c>
      <c r="I17" s="170">
        <f t="shared" si="9"/>
        <v>0</v>
      </c>
      <c r="J17" s="170"/>
      <c r="K17" s="170">
        <f t="shared" ref="K17:BR17" si="10">SUM(K14:K15)</f>
        <v>174120.3125</v>
      </c>
      <c r="L17" s="170">
        <f t="shared" si="10"/>
        <v>170415.625</v>
      </c>
      <c r="M17" s="170">
        <f t="shared" si="10"/>
        <v>166710.9375</v>
      </c>
      <c r="N17" s="170">
        <f t="shared" si="10"/>
        <v>163006.25</v>
      </c>
      <c r="O17" s="170">
        <f t="shared" si="10"/>
        <v>159301.5625</v>
      </c>
      <c r="P17" s="170">
        <f t="shared" si="10"/>
        <v>155596.875</v>
      </c>
      <c r="Q17" s="170">
        <f t="shared" si="10"/>
        <v>151892.1875</v>
      </c>
      <c r="R17" s="170">
        <f t="shared" si="10"/>
        <v>148187.5</v>
      </c>
      <c r="S17" s="170">
        <f t="shared" si="10"/>
        <v>144482.8125</v>
      </c>
      <c r="T17" s="170">
        <f t="shared" si="10"/>
        <v>140778.125</v>
      </c>
      <c r="U17" s="170">
        <f t="shared" si="10"/>
        <v>137073.4375</v>
      </c>
      <c r="V17" s="170">
        <f t="shared" si="10"/>
        <v>133368.75</v>
      </c>
      <c r="W17" s="170">
        <f t="shared" si="10"/>
        <v>129664.0625</v>
      </c>
      <c r="X17" s="170">
        <f t="shared" si="10"/>
        <v>125959.375</v>
      </c>
      <c r="Y17" s="170">
        <f t="shared" si="10"/>
        <v>122254.6875</v>
      </c>
      <c r="Z17" s="170">
        <f t="shared" si="10"/>
        <v>118550</v>
      </c>
      <c r="AA17" s="170">
        <f t="shared" si="10"/>
        <v>114845.3125</v>
      </c>
      <c r="AB17" s="170">
        <f t="shared" si="10"/>
        <v>111140.625</v>
      </c>
      <c r="AC17" s="170">
        <f t="shared" si="10"/>
        <v>107435.9375</v>
      </c>
      <c r="AD17" s="170">
        <f t="shared" si="10"/>
        <v>103731.25</v>
      </c>
      <c r="AE17" s="170">
        <f t="shared" si="10"/>
        <v>100026.5625</v>
      </c>
      <c r="AF17" s="170">
        <f t="shared" si="10"/>
        <v>96321.875</v>
      </c>
      <c r="AG17" s="170">
        <f t="shared" si="10"/>
        <v>92617.1875</v>
      </c>
      <c r="AH17" s="170">
        <f t="shared" si="10"/>
        <v>88912.5</v>
      </c>
      <c r="AI17" s="170">
        <f t="shared" si="10"/>
        <v>85207.8125</v>
      </c>
      <c r="AJ17" s="170">
        <f t="shared" si="10"/>
        <v>81503.125</v>
      </c>
      <c r="AK17" s="170">
        <f t="shared" si="10"/>
        <v>77798.4375</v>
      </c>
      <c r="AL17" s="170">
        <f t="shared" si="10"/>
        <v>74093.75</v>
      </c>
      <c r="AM17" s="170">
        <f t="shared" si="10"/>
        <v>70389.0625</v>
      </c>
      <c r="AN17" s="170">
        <f t="shared" si="10"/>
        <v>66684.375</v>
      </c>
      <c r="AO17" s="170">
        <f t="shared" si="10"/>
        <v>62979.6875</v>
      </c>
      <c r="AP17" s="170">
        <f t="shared" si="10"/>
        <v>59275</v>
      </c>
      <c r="AQ17" s="170">
        <f t="shared" si="10"/>
        <v>55570.3125</v>
      </c>
      <c r="AR17" s="170">
        <f t="shared" si="10"/>
        <v>51865.625</v>
      </c>
      <c r="AS17" s="170">
        <f t="shared" si="10"/>
        <v>48160.9375</v>
      </c>
      <c r="AT17" s="170">
        <f t="shared" si="10"/>
        <v>44456.25</v>
      </c>
      <c r="AU17" s="170">
        <f t="shared" si="10"/>
        <v>40751.5625</v>
      </c>
      <c r="AV17" s="170">
        <f t="shared" si="10"/>
        <v>37046.875</v>
      </c>
      <c r="AW17" s="170">
        <f t="shared" si="10"/>
        <v>33342.1875</v>
      </c>
      <c r="AX17" s="170">
        <f t="shared" si="10"/>
        <v>29637.5</v>
      </c>
      <c r="AY17" s="170">
        <f t="shared" si="10"/>
        <v>25932.8125</v>
      </c>
      <c r="AZ17" s="170">
        <f t="shared" si="10"/>
        <v>22228.125</v>
      </c>
      <c r="BA17" s="170">
        <f t="shared" si="10"/>
        <v>18523.4375</v>
      </c>
      <c r="BB17" s="170">
        <f t="shared" si="10"/>
        <v>14818.75</v>
      </c>
      <c r="BC17" s="170">
        <f t="shared" si="10"/>
        <v>11114.0625</v>
      </c>
      <c r="BD17" s="170">
        <f t="shared" si="10"/>
        <v>7409.375</v>
      </c>
      <c r="BE17" s="170">
        <f t="shared" si="10"/>
        <v>3704.6875</v>
      </c>
      <c r="BF17" s="170">
        <f t="shared" si="10"/>
        <v>0</v>
      </c>
      <c r="BG17" s="170">
        <f t="shared" si="10"/>
        <v>0</v>
      </c>
      <c r="BH17" s="170">
        <f t="shared" si="10"/>
        <v>0</v>
      </c>
      <c r="BI17" s="170">
        <f t="shared" si="10"/>
        <v>0</v>
      </c>
      <c r="BJ17" s="170">
        <f t="shared" si="10"/>
        <v>0</v>
      </c>
      <c r="BK17" s="170">
        <f t="shared" si="10"/>
        <v>0</v>
      </c>
      <c r="BL17" s="170">
        <f t="shared" si="10"/>
        <v>0</v>
      </c>
      <c r="BM17" s="170">
        <f t="shared" si="10"/>
        <v>0</v>
      </c>
      <c r="BN17" s="170">
        <f t="shared" si="10"/>
        <v>0</v>
      </c>
      <c r="BO17" s="170">
        <f t="shared" si="10"/>
        <v>0</v>
      </c>
      <c r="BP17" s="170">
        <f t="shared" si="10"/>
        <v>0</v>
      </c>
      <c r="BQ17" s="170">
        <f t="shared" si="10"/>
        <v>0</v>
      </c>
      <c r="BR17" s="170">
        <f t="shared" si="10"/>
        <v>0</v>
      </c>
    </row>
    <row r="18">
      <c r="A18" s="170"/>
      <c r="B18" s="212"/>
      <c r="C18" s="187"/>
      <c r="D18" s="187"/>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row>
    <row r="19">
      <c r="A19" s="170"/>
      <c r="B19" s="212" t="s">
        <v>201</v>
      </c>
      <c r="C19" s="216"/>
      <c r="D19" s="216"/>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row>
    <row r="20">
      <c r="A20" s="170"/>
      <c r="B20" s="215" t="s">
        <v>201</v>
      </c>
      <c r="C20" s="170"/>
      <c r="D20" s="170"/>
      <c r="E20" s="214">
        <f t="shared" ref="E20:I20" si="11">INDEX($K20:$BR20,,MATCH(E$2,$K$2:$BR$2,0)+11)</f>
        <v>0</v>
      </c>
      <c r="F20" s="214">
        <f t="shared" si="11"/>
        <v>0</v>
      </c>
      <c r="G20" s="214">
        <f t="shared" si="11"/>
        <v>0</v>
      </c>
      <c r="H20" s="214">
        <f t="shared" si="11"/>
        <v>0</v>
      </c>
      <c r="I20" s="214">
        <f t="shared" si="11"/>
        <v>0</v>
      </c>
      <c r="J20" s="170"/>
      <c r="K20" s="177">
        <v>0.0</v>
      </c>
      <c r="L20" s="177">
        <v>0.0</v>
      </c>
      <c r="M20" s="177">
        <v>0.0</v>
      </c>
      <c r="N20" s="177">
        <v>0.0</v>
      </c>
      <c r="O20" s="177">
        <v>0.0</v>
      </c>
      <c r="P20" s="177">
        <v>0.0</v>
      </c>
      <c r="Q20" s="177">
        <v>0.0</v>
      </c>
      <c r="R20" s="177">
        <v>0.0</v>
      </c>
      <c r="S20" s="177">
        <v>0.0</v>
      </c>
      <c r="T20" s="177">
        <v>0.0</v>
      </c>
      <c r="U20" s="177">
        <v>0.0</v>
      </c>
      <c r="V20" s="177">
        <v>0.0</v>
      </c>
      <c r="W20" s="177">
        <v>0.0</v>
      </c>
      <c r="X20" s="177">
        <v>0.0</v>
      </c>
      <c r="Y20" s="177">
        <v>0.0</v>
      </c>
      <c r="Z20" s="177">
        <v>0.0</v>
      </c>
      <c r="AA20" s="177">
        <v>0.0</v>
      </c>
      <c r="AB20" s="177">
        <v>0.0</v>
      </c>
      <c r="AC20" s="177">
        <v>0.0</v>
      </c>
      <c r="AD20" s="177">
        <v>0.0</v>
      </c>
      <c r="AE20" s="177">
        <v>0.0</v>
      </c>
      <c r="AF20" s="177">
        <v>0.0</v>
      </c>
      <c r="AG20" s="177">
        <v>0.0</v>
      </c>
      <c r="AH20" s="177">
        <v>0.0</v>
      </c>
      <c r="AI20" s="177">
        <v>0.0</v>
      </c>
      <c r="AJ20" s="177">
        <v>0.0</v>
      </c>
      <c r="AK20" s="177">
        <v>0.0</v>
      </c>
      <c r="AL20" s="177">
        <v>0.0</v>
      </c>
      <c r="AM20" s="177">
        <v>0.0</v>
      </c>
      <c r="AN20" s="177">
        <v>0.0</v>
      </c>
      <c r="AO20" s="177">
        <v>0.0</v>
      </c>
      <c r="AP20" s="177">
        <v>0.0</v>
      </c>
      <c r="AQ20" s="177">
        <v>0.0</v>
      </c>
      <c r="AR20" s="177">
        <v>0.0</v>
      </c>
      <c r="AS20" s="177">
        <v>0.0</v>
      </c>
      <c r="AT20" s="177">
        <v>0.0</v>
      </c>
      <c r="AU20" s="177">
        <v>0.0</v>
      </c>
      <c r="AV20" s="177">
        <v>0.0</v>
      </c>
      <c r="AW20" s="177">
        <v>0.0</v>
      </c>
      <c r="AX20" s="177">
        <v>0.0</v>
      </c>
      <c r="AY20" s="177">
        <v>0.0</v>
      </c>
      <c r="AZ20" s="177">
        <v>0.0</v>
      </c>
      <c r="BA20" s="177">
        <v>0.0</v>
      </c>
      <c r="BB20" s="177">
        <v>0.0</v>
      </c>
      <c r="BC20" s="177">
        <v>0.0</v>
      </c>
      <c r="BD20" s="177">
        <v>0.0</v>
      </c>
      <c r="BE20" s="177">
        <v>0.0</v>
      </c>
      <c r="BF20" s="177">
        <v>0.0</v>
      </c>
      <c r="BG20" s="177">
        <v>0.0</v>
      </c>
      <c r="BH20" s="177">
        <v>0.0</v>
      </c>
      <c r="BI20" s="177">
        <v>0.0</v>
      </c>
      <c r="BJ20" s="177">
        <v>0.0</v>
      </c>
      <c r="BK20" s="177">
        <v>0.0</v>
      </c>
      <c r="BL20" s="177">
        <v>0.0</v>
      </c>
      <c r="BM20" s="177">
        <v>0.0</v>
      </c>
      <c r="BN20" s="177">
        <v>0.0</v>
      </c>
      <c r="BO20" s="177">
        <v>0.0</v>
      </c>
      <c r="BP20" s="177">
        <v>0.0</v>
      </c>
      <c r="BQ20" s="177">
        <v>0.0</v>
      </c>
      <c r="BR20" s="177">
        <v>0.0</v>
      </c>
    </row>
    <row r="21">
      <c r="A21" s="170"/>
      <c r="B21" s="212" t="s">
        <v>202</v>
      </c>
      <c r="C21" s="179"/>
      <c r="D21" s="179"/>
      <c r="E21" s="170">
        <f t="shared" ref="E21:I21" si="12">SUM(E20)</f>
        <v>0</v>
      </c>
      <c r="F21" s="170">
        <f t="shared" si="12"/>
        <v>0</v>
      </c>
      <c r="G21" s="170">
        <f t="shared" si="12"/>
        <v>0</v>
      </c>
      <c r="H21" s="170">
        <f t="shared" si="12"/>
        <v>0</v>
      </c>
      <c r="I21" s="170">
        <f t="shared" si="12"/>
        <v>0</v>
      </c>
      <c r="J21" s="170"/>
      <c r="K21" s="170">
        <f t="shared" ref="K21:BR21" si="13">SUM(K20)</f>
        <v>0</v>
      </c>
      <c r="L21" s="170">
        <f t="shared" si="13"/>
        <v>0</v>
      </c>
      <c r="M21" s="170">
        <f t="shared" si="13"/>
        <v>0</v>
      </c>
      <c r="N21" s="170">
        <f t="shared" si="13"/>
        <v>0</v>
      </c>
      <c r="O21" s="170">
        <f t="shared" si="13"/>
        <v>0</v>
      </c>
      <c r="P21" s="170">
        <f t="shared" si="13"/>
        <v>0</v>
      </c>
      <c r="Q21" s="170">
        <f t="shared" si="13"/>
        <v>0</v>
      </c>
      <c r="R21" s="170">
        <f t="shared" si="13"/>
        <v>0</v>
      </c>
      <c r="S21" s="170">
        <f t="shared" si="13"/>
        <v>0</v>
      </c>
      <c r="T21" s="170">
        <f t="shared" si="13"/>
        <v>0</v>
      </c>
      <c r="U21" s="170">
        <f t="shared" si="13"/>
        <v>0</v>
      </c>
      <c r="V21" s="170">
        <f t="shared" si="13"/>
        <v>0</v>
      </c>
      <c r="W21" s="170">
        <f t="shared" si="13"/>
        <v>0</v>
      </c>
      <c r="X21" s="170">
        <f t="shared" si="13"/>
        <v>0</v>
      </c>
      <c r="Y21" s="170">
        <f t="shared" si="13"/>
        <v>0</v>
      </c>
      <c r="Z21" s="170">
        <f t="shared" si="13"/>
        <v>0</v>
      </c>
      <c r="AA21" s="170">
        <f t="shared" si="13"/>
        <v>0</v>
      </c>
      <c r="AB21" s="170">
        <f t="shared" si="13"/>
        <v>0</v>
      </c>
      <c r="AC21" s="170">
        <f t="shared" si="13"/>
        <v>0</v>
      </c>
      <c r="AD21" s="170">
        <f t="shared" si="13"/>
        <v>0</v>
      </c>
      <c r="AE21" s="170">
        <f t="shared" si="13"/>
        <v>0</v>
      </c>
      <c r="AF21" s="170">
        <f t="shared" si="13"/>
        <v>0</v>
      </c>
      <c r="AG21" s="170">
        <f t="shared" si="13"/>
        <v>0</v>
      </c>
      <c r="AH21" s="170">
        <f t="shared" si="13"/>
        <v>0</v>
      </c>
      <c r="AI21" s="170">
        <f t="shared" si="13"/>
        <v>0</v>
      </c>
      <c r="AJ21" s="170">
        <f t="shared" si="13"/>
        <v>0</v>
      </c>
      <c r="AK21" s="170">
        <f t="shared" si="13"/>
        <v>0</v>
      </c>
      <c r="AL21" s="170">
        <f t="shared" si="13"/>
        <v>0</v>
      </c>
      <c r="AM21" s="170">
        <f t="shared" si="13"/>
        <v>0</v>
      </c>
      <c r="AN21" s="170">
        <f t="shared" si="13"/>
        <v>0</v>
      </c>
      <c r="AO21" s="170">
        <f t="shared" si="13"/>
        <v>0</v>
      </c>
      <c r="AP21" s="170">
        <f t="shared" si="13"/>
        <v>0</v>
      </c>
      <c r="AQ21" s="170">
        <f t="shared" si="13"/>
        <v>0</v>
      </c>
      <c r="AR21" s="170">
        <f t="shared" si="13"/>
        <v>0</v>
      </c>
      <c r="AS21" s="170">
        <f t="shared" si="13"/>
        <v>0</v>
      </c>
      <c r="AT21" s="170">
        <f t="shared" si="13"/>
        <v>0</v>
      </c>
      <c r="AU21" s="170">
        <f t="shared" si="13"/>
        <v>0</v>
      </c>
      <c r="AV21" s="170">
        <f t="shared" si="13"/>
        <v>0</v>
      </c>
      <c r="AW21" s="170">
        <f t="shared" si="13"/>
        <v>0</v>
      </c>
      <c r="AX21" s="170">
        <f t="shared" si="13"/>
        <v>0</v>
      </c>
      <c r="AY21" s="170">
        <f t="shared" si="13"/>
        <v>0</v>
      </c>
      <c r="AZ21" s="170">
        <f t="shared" si="13"/>
        <v>0</v>
      </c>
      <c r="BA21" s="170">
        <f t="shared" si="13"/>
        <v>0</v>
      </c>
      <c r="BB21" s="170">
        <f t="shared" si="13"/>
        <v>0</v>
      </c>
      <c r="BC21" s="170">
        <f t="shared" si="13"/>
        <v>0</v>
      </c>
      <c r="BD21" s="170">
        <f t="shared" si="13"/>
        <v>0</v>
      </c>
      <c r="BE21" s="170">
        <f t="shared" si="13"/>
        <v>0</v>
      </c>
      <c r="BF21" s="170">
        <f t="shared" si="13"/>
        <v>0</v>
      </c>
      <c r="BG21" s="170">
        <f t="shared" si="13"/>
        <v>0</v>
      </c>
      <c r="BH21" s="170">
        <f t="shared" si="13"/>
        <v>0</v>
      </c>
      <c r="BI21" s="170">
        <f t="shared" si="13"/>
        <v>0</v>
      </c>
      <c r="BJ21" s="170">
        <f t="shared" si="13"/>
        <v>0</v>
      </c>
      <c r="BK21" s="170">
        <f t="shared" si="13"/>
        <v>0</v>
      </c>
      <c r="BL21" s="170">
        <f t="shared" si="13"/>
        <v>0</v>
      </c>
      <c r="BM21" s="170">
        <f t="shared" si="13"/>
        <v>0</v>
      </c>
      <c r="BN21" s="170">
        <f t="shared" si="13"/>
        <v>0</v>
      </c>
      <c r="BO21" s="170">
        <f t="shared" si="13"/>
        <v>0</v>
      </c>
      <c r="BP21" s="170">
        <f t="shared" si="13"/>
        <v>0</v>
      </c>
      <c r="BQ21" s="170">
        <f t="shared" si="13"/>
        <v>0</v>
      </c>
      <c r="BR21" s="170">
        <f t="shared" si="13"/>
        <v>0</v>
      </c>
    </row>
    <row r="22">
      <c r="A22" s="170"/>
      <c r="B22" s="213"/>
      <c r="C22" s="179"/>
      <c r="D22" s="179"/>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c r="A23" s="170"/>
      <c r="B23" s="212" t="s">
        <v>203</v>
      </c>
      <c r="C23" s="179"/>
      <c r="D23" s="179"/>
      <c r="E23" s="218">
        <f t="shared" ref="E23:I23" si="14">E11+E17+E21</f>
        <v>199293.1734</v>
      </c>
      <c r="F23" s="218">
        <f t="shared" si="14"/>
        <v>169887.9187</v>
      </c>
      <c r="G23" s="218">
        <f t="shared" si="14"/>
        <v>162527.9473</v>
      </c>
      <c r="H23" s="218">
        <f t="shared" si="14"/>
        <v>166401.1941</v>
      </c>
      <c r="I23" s="218">
        <f t="shared" si="14"/>
        <v>226287.0024</v>
      </c>
      <c r="J23" s="170"/>
      <c r="K23" s="218">
        <f>K11+K17+K20</f>
        <v>293426.8572</v>
      </c>
      <c r="L23" s="218">
        <f t="shared" ref="L23:BR23" si="15">L11+L17+L21</f>
        <v>282769.3813</v>
      </c>
      <c r="M23" s="218">
        <f t="shared" si="15"/>
        <v>271666.4344</v>
      </c>
      <c r="N23" s="218">
        <f t="shared" si="15"/>
        <v>261175.7821</v>
      </c>
      <c r="O23" s="218">
        <f t="shared" si="15"/>
        <v>251297.4246</v>
      </c>
      <c r="P23" s="218">
        <f t="shared" si="15"/>
        <v>242031.3617</v>
      </c>
      <c r="Q23" s="218">
        <f t="shared" si="15"/>
        <v>233377.5936</v>
      </c>
      <c r="R23" s="218">
        <f t="shared" si="15"/>
        <v>225336.1202</v>
      </c>
      <c r="S23" s="218">
        <f t="shared" si="15"/>
        <v>217906.9414</v>
      </c>
      <c r="T23" s="218">
        <f t="shared" si="15"/>
        <v>211090.0574</v>
      </c>
      <c r="U23" s="218">
        <f t="shared" si="15"/>
        <v>204885.468</v>
      </c>
      <c r="V23" s="218">
        <f t="shared" si="15"/>
        <v>199293.1734</v>
      </c>
      <c r="W23" s="218">
        <f t="shared" si="15"/>
        <v>194529.4332</v>
      </c>
      <c r="X23" s="218">
        <f t="shared" si="15"/>
        <v>190395.0662</v>
      </c>
      <c r="Y23" s="218">
        <f t="shared" si="15"/>
        <v>186890.0725</v>
      </c>
      <c r="Z23" s="218">
        <f t="shared" si="15"/>
        <v>184014.4519</v>
      </c>
      <c r="AA23" s="218">
        <f t="shared" si="15"/>
        <v>181768.2046</v>
      </c>
      <c r="AB23" s="218">
        <f t="shared" si="15"/>
        <v>180151.3304</v>
      </c>
      <c r="AC23" s="218">
        <f t="shared" si="15"/>
        <v>177957.1738</v>
      </c>
      <c r="AD23" s="218">
        <f t="shared" si="15"/>
        <v>175953.8847</v>
      </c>
      <c r="AE23" s="218">
        <f t="shared" si="15"/>
        <v>174143.3734</v>
      </c>
      <c r="AF23" s="218">
        <f t="shared" si="15"/>
        <v>172527.5706</v>
      </c>
      <c r="AG23" s="218">
        <f t="shared" si="15"/>
        <v>171108.4281</v>
      </c>
      <c r="AH23" s="218">
        <f t="shared" si="15"/>
        <v>169887.9187</v>
      </c>
      <c r="AI23" s="218">
        <f t="shared" si="15"/>
        <v>168337.1393</v>
      </c>
      <c r="AJ23" s="218">
        <f t="shared" si="15"/>
        <v>166952.5138</v>
      </c>
      <c r="AK23" s="218">
        <f t="shared" si="15"/>
        <v>165735.3054</v>
      </c>
      <c r="AL23" s="218">
        <f t="shared" si="15"/>
        <v>164686.7883</v>
      </c>
      <c r="AM23" s="218">
        <f t="shared" si="15"/>
        <v>163808.2468</v>
      </c>
      <c r="AN23" s="218">
        <f t="shared" si="15"/>
        <v>163100.9762</v>
      </c>
      <c r="AO23" s="218">
        <f t="shared" si="15"/>
        <v>162566.2826</v>
      </c>
      <c r="AP23" s="218">
        <f t="shared" si="15"/>
        <v>162205.4829</v>
      </c>
      <c r="AQ23" s="218">
        <f t="shared" si="15"/>
        <v>162019.905</v>
      </c>
      <c r="AR23" s="218">
        <f t="shared" si="15"/>
        <v>162010.8878</v>
      </c>
      <c r="AS23" s="218">
        <f t="shared" si="15"/>
        <v>162179.7815</v>
      </c>
      <c r="AT23" s="218">
        <f t="shared" si="15"/>
        <v>162527.9473</v>
      </c>
      <c r="AU23" s="218">
        <f t="shared" si="15"/>
        <v>162020.3961</v>
      </c>
      <c r="AV23" s="218">
        <f t="shared" si="15"/>
        <v>161660.8029</v>
      </c>
      <c r="AW23" s="218">
        <f t="shared" si="15"/>
        <v>161450.057</v>
      </c>
      <c r="AX23" s="218">
        <f t="shared" si="15"/>
        <v>161389.0539</v>
      </c>
      <c r="AY23" s="218">
        <f t="shared" si="15"/>
        <v>161478.6947</v>
      </c>
      <c r="AZ23" s="218">
        <f t="shared" si="15"/>
        <v>161719.8868</v>
      </c>
      <c r="BA23" s="218">
        <f t="shared" si="15"/>
        <v>162113.5436</v>
      </c>
      <c r="BB23" s="218">
        <f t="shared" si="15"/>
        <v>162660.5846</v>
      </c>
      <c r="BC23" s="218">
        <f t="shared" si="15"/>
        <v>163361.9352</v>
      </c>
      <c r="BD23" s="218">
        <f t="shared" si="15"/>
        <v>164218.5273</v>
      </c>
      <c r="BE23" s="218">
        <f t="shared" si="15"/>
        <v>165231.2989</v>
      </c>
      <c r="BF23" s="218">
        <f t="shared" si="15"/>
        <v>166401.1941</v>
      </c>
      <c r="BG23" s="218">
        <f t="shared" si="15"/>
        <v>170499.0807</v>
      </c>
      <c r="BH23" s="218">
        <f t="shared" si="15"/>
        <v>174755.9983</v>
      </c>
      <c r="BI23" s="218">
        <f t="shared" si="15"/>
        <v>179172.9101</v>
      </c>
      <c r="BJ23" s="218">
        <f t="shared" si="15"/>
        <v>183750.7858</v>
      </c>
      <c r="BK23" s="218">
        <f t="shared" si="15"/>
        <v>188490.6015</v>
      </c>
      <c r="BL23" s="218">
        <f t="shared" si="15"/>
        <v>193393.3399</v>
      </c>
      <c r="BM23" s="218">
        <f t="shared" si="15"/>
        <v>198459.99</v>
      </c>
      <c r="BN23" s="218">
        <f t="shared" si="15"/>
        <v>203691.5476</v>
      </c>
      <c r="BO23" s="218">
        <f t="shared" si="15"/>
        <v>209089.0153</v>
      </c>
      <c r="BP23" s="218">
        <f t="shared" si="15"/>
        <v>214653.4019</v>
      </c>
      <c r="BQ23" s="218">
        <f t="shared" si="15"/>
        <v>220385.7234</v>
      </c>
      <c r="BR23" s="218">
        <f t="shared" si="15"/>
        <v>226287.0024</v>
      </c>
    </row>
    <row r="24">
      <c r="A24" s="170"/>
      <c r="B24" s="213"/>
      <c r="C24" s="179"/>
      <c r="D24" s="179"/>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row>
    <row r="25">
      <c r="A25" s="170"/>
      <c r="B25" s="211" t="s">
        <v>204</v>
      </c>
      <c r="C25" s="179"/>
      <c r="D25" s="179"/>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row>
    <row r="26">
      <c r="A26" s="170"/>
      <c r="B26" s="213"/>
      <c r="C26" s="219"/>
      <c r="D26" s="219"/>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row>
    <row r="27">
      <c r="A27" s="170"/>
      <c r="B27" s="212" t="s">
        <v>205</v>
      </c>
      <c r="C27" s="216"/>
      <c r="D27" s="216"/>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row>
    <row r="28">
      <c r="A28" s="170"/>
      <c r="B28" s="215" t="s">
        <v>206</v>
      </c>
      <c r="C28" s="216"/>
      <c r="D28" s="216"/>
      <c r="E28" s="214">
        <f t="shared" ref="E28:I28" si="16">INDEX($K28:$BR28,,MATCH(E$2,$K$2:$BR$2,0)+11)</f>
        <v>20853.09591</v>
      </c>
      <c r="F28" s="214">
        <f t="shared" si="16"/>
        <v>29016.25027</v>
      </c>
      <c r="G28" s="214">
        <f t="shared" si="16"/>
        <v>32054.63084</v>
      </c>
      <c r="H28" s="214">
        <f t="shared" si="16"/>
        <v>34715.14939</v>
      </c>
      <c r="I28" s="214">
        <f t="shared" si="16"/>
        <v>37596.48967</v>
      </c>
      <c r="J28" s="170"/>
      <c r="K28" s="177">
        <f>Model!K103</f>
        <v>8159.907097</v>
      </c>
      <c r="L28" s="177">
        <f>Model!L103</f>
        <v>10275.43857</v>
      </c>
      <c r="M28" s="177">
        <f>Model!M103</f>
        <v>11333.2043</v>
      </c>
      <c r="N28" s="177">
        <f>Model!N103</f>
        <v>12390.97004</v>
      </c>
      <c r="O28" s="177">
        <f>Model!O103</f>
        <v>13448.73577</v>
      </c>
      <c r="P28" s="177">
        <f>Model!P103</f>
        <v>14506.50151</v>
      </c>
      <c r="Q28" s="177">
        <f>Model!Q103</f>
        <v>15564.26724</v>
      </c>
      <c r="R28" s="177">
        <f>Model!R103</f>
        <v>16622.03297</v>
      </c>
      <c r="S28" s="177">
        <f>Model!S103</f>
        <v>17679.79871</v>
      </c>
      <c r="T28" s="177">
        <f>Model!T103</f>
        <v>18737.56444</v>
      </c>
      <c r="U28" s="177">
        <f>Model!U103</f>
        <v>19795.33018</v>
      </c>
      <c r="V28" s="177">
        <f>Model!V103</f>
        <v>20853.09591</v>
      </c>
      <c r="W28" s="177">
        <f>Model!W103</f>
        <v>21910.86165</v>
      </c>
      <c r="X28" s="177">
        <f>Model!X103</f>
        <v>22968.62738</v>
      </c>
      <c r="Y28" s="177">
        <f>Model!Y103</f>
        <v>24026.39312</v>
      </c>
      <c r="Z28" s="177">
        <f>Model!Z103</f>
        <v>25084.15885</v>
      </c>
      <c r="AA28" s="177">
        <f>Model!AA103</f>
        <v>26141.92459</v>
      </c>
      <c r="AB28" s="177">
        <f>Model!AB103</f>
        <v>27199.69032</v>
      </c>
      <c r="AC28" s="177">
        <f>Model!AC103</f>
        <v>27494.35363</v>
      </c>
      <c r="AD28" s="177">
        <f>Model!AD103</f>
        <v>27792.20913</v>
      </c>
      <c r="AE28" s="177">
        <f>Model!AE103</f>
        <v>28093.2914</v>
      </c>
      <c r="AF28" s="177">
        <f>Model!AF103</f>
        <v>28397.63539</v>
      </c>
      <c r="AG28" s="177">
        <f>Model!AG103</f>
        <v>28705.27644</v>
      </c>
      <c r="AH28" s="177">
        <f>Model!AH103</f>
        <v>29016.25027</v>
      </c>
      <c r="AI28" s="177">
        <f>Model!AI103</f>
        <v>29258.05235</v>
      </c>
      <c r="AJ28" s="177">
        <f>Model!AJ103</f>
        <v>29501.86945</v>
      </c>
      <c r="AK28" s="177">
        <f>Model!AK103</f>
        <v>29747.71837</v>
      </c>
      <c r="AL28" s="177">
        <f>Model!AL103</f>
        <v>29995.61602</v>
      </c>
      <c r="AM28" s="177">
        <f>Model!AM103</f>
        <v>30245.57949</v>
      </c>
      <c r="AN28" s="177">
        <f>Model!AN103</f>
        <v>30497.62598</v>
      </c>
      <c r="AO28" s="177">
        <f>Model!AO103</f>
        <v>30751.77287</v>
      </c>
      <c r="AP28" s="177">
        <f>Model!AP103</f>
        <v>31008.03764</v>
      </c>
      <c r="AQ28" s="177">
        <f>Model!AQ103</f>
        <v>31266.43795</v>
      </c>
      <c r="AR28" s="177">
        <f>Model!AR103</f>
        <v>31526.9916</v>
      </c>
      <c r="AS28" s="177">
        <f>Model!AS103</f>
        <v>31789.71653</v>
      </c>
      <c r="AT28" s="177">
        <f>Model!AT103</f>
        <v>32054.63084</v>
      </c>
      <c r="AU28" s="177">
        <f>Model!AU103</f>
        <v>32268.32838</v>
      </c>
      <c r="AV28" s="177">
        <f>Model!AV103</f>
        <v>32483.45057</v>
      </c>
      <c r="AW28" s="177">
        <f>Model!AW103</f>
        <v>32700.0069</v>
      </c>
      <c r="AX28" s="177">
        <f>Model!AX103</f>
        <v>32918.00695</v>
      </c>
      <c r="AY28" s="177">
        <f>Model!AY103</f>
        <v>33137.46033</v>
      </c>
      <c r="AZ28" s="177">
        <f>Model!AZ103</f>
        <v>33358.37673</v>
      </c>
      <c r="BA28" s="177">
        <f>Model!BA103</f>
        <v>33580.76591</v>
      </c>
      <c r="BB28" s="177">
        <f>Model!BB103</f>
        <v>33804.63768</v>
      </c>
      <c r="BC28" s="177">
        <f>Model!BC103</f>
        <v>34030.00193</v>
      </c>
      <c r="BD28" s="177">
        <f>Model!BD103</f>
        <v>34256.86861</v>
      </c>
      <c r="BE28" s="177">
        <f>Model!BE103</f>
        <v>34485.24774</v>
      </c>
      <c r="BF28" s="177">
        <f>Model!BF103</f>
        <v>34715.14939</v>
      </c>
      <c r="BG28" s="177">
        <f>Model!BG103</f>
        <v>34946.58372</v>
      </c>
      <c r="BH28" s="177">
        <f>Model!BH103</f>
        <v>35179.56094</v>
      </c>
      <c r="BI28" s="177">
        <f>Model!BI103</f>
        <v>35414.09135</v>
      </c>
      <c r="BJ28" s="177">
        <f>Model!BJ103</f>
        <v>35650.18529</v>
      </c>
      <c r="BK28" s="177">
        <f>Model!BK103</f>
        <v>35887.85319</v>
      </c>
      <c r="BL28" s="177">
        <f>Model!BL103</f>
        <v>36127.10555</v>
      </c>
      <c r="BM28" s="177">
        <f>Model!BM103</f>
        <v>36367.95292</v>
      </c>
      <c r="BN28" s="177">
        <f>Model!BN103</f>
        <v>36610.40594</v>
      </c>
      <c r="BO28" s="177">
        <f>Model!BO103</f>
        <v>36854.47531</v>
      </c>
      <c r="BP28" s="177">
        <f>Model!BP103</f>
        <v>37100.17181</v>
      </c>
      <c r="BQ28" s="177">
        <f>Model!BQ103</f>
        <v>37347.50629</v>
      </c>
      <c r="BR28" s="177">
        <f>Model!BR103</f>
        <v>37596.48967</v>
      </c>
    </row>
    <row r="29">
      <c r="A29" s="170"/>
      <c r="B29" s="215" t="s">
        <v>207</v>
      </c>
      <c r="C29" s="216"/>
      <c r="D29" s="216"/>
      <c r="E29" s="214">
        <f t="shared" ref="E29:I29" si="17">INDEX($K29:$BR29,,MATCH(E$2,$K$2:$BR$2,0)+11)</f>
        <v>0</v>
      </c>
      <c r="F29" s="214">
        <f t="shared" si="17"/>
        <v>0</v>
      </c>
      <c r="G29" s="214">
        <f t="shared" si="17"/>
        <v>0</v>
      </c>
      <c r="H29" s="214">
        <f t="shared" si="17"/>
        <v>0</v>
      </c>
      <c r="I29" s="214">
        <f t="shared" si="17"/>
        <v>0</v>
      </c>
      <c r="J29" s="170"/>
      <c r="K29" s="177">
        <f>Model!K104</f>
        <v>0</v>
      </c>
      <c r="L29" s="177">
        <f>Model!L104</f>
        <v>0</v>
      </c>
      <c r="M29" s="177">
        <f>Model!M104</f>
        <v>0</v>
      </c>
      <c r="N29" s="177">
        <f>Model!N104</f>
        <v>0</v>
      </c>
      <c r="O29" s="177">
        <f>Model!O104</f>
        <v>0</v>
      </c>
      <c r="P29" s="177">
        <f>Model!P104</f>
        <v>0</v>
      </c>
      <c r="Q29" s="177">
        <f>Model!Q104</f>
        <v>0</v>
      </c>
      <c r="R29" s="177">
        <f>Model!R104</f>
        <v>0</v>
      </c>
      <c r="S29" s="177">
        <f>Model!S104</f>
        <v>0</v>
      </c>
      <c r="T29" s="177">
        <f>Model!T104</f>
        <v>0</v>
      </c>
      <c r="U29" s="177">
        <f>Model!U104</f>
        <v>0</v>
      </c>
      <c r="V29" s="177">
        <f>Model!V104</f>
        <v>0</v>
      </c>
      <c r="W29" s="177">
        <f>Model!W104</f>
        <v>0</v>
      </c>
      <c r="X29" s="177">
        <f>Model!X104</f>
        <v>0</v>
      </c>
      <c r="Y29" s="177">
        <f>Model!Y104</f>
        <v>0</v>
      </c>
      <c r="Z29" s="177">
        <f>Model!Z104</f>
        <v>0</v>
      </c>
      <c r="AA29" s="177">
        <f>Model!AA104</f>
        <v>0</v>
      </c>
      <c r="AB29" s="177">
        <f>Model!AB104</f>
        <v>0</v>
      </c>
      <c r="AC29" s="177">
        <f>Model!AC104</f>
        <v>0</v>
      </c>
      <c r="AD29" s="177">
        <f>Model!AD104</f>
        <v>0</v>
      </c>
      <c r="AE29" s="177">
        <f>Model!AE104</f>
        <v>0</v>
      </c>
      <c r="AF29" s="177">
        <f>Model!AF104</f>
        <v>0</v>
      </c>
      <c r="AG29" s="177">
        <f>Model!AG104</f>
        <v>0</v>
      </c>
      <c r="AH29" s="177">
        <f>Model!AH104</f>
        <v>0</v>
      </c>
      <c r="AI29" s="177">
        <f>Model!AI104</f>
        <v>0</v>
      </c>
      <c r="AJ29" s="177">
        <f>Model!AJ104</f>
        <v>0</v>
      </c>
      <c r="AK29" s="177">
        <f>Model!AK104</f>
        <v>0</v>
      </c>
      <c r="AL29" s="177">
        <f>Model!AL104</f>
        <v>0</v>
      </c>
      <c r="AM29" s="177">
        <f>Model!AM104</f>
        <v>0</v>
      </c>
      <c r="AN29" s="177">
        <f>Model!AN104</f>
        <v>0</v>
      </c>
      <c r="AO29" s="177">
        <f>Model!AO104</f>
        <v>0</v>
      </c>
      <c r="AP29" s="177">
        <f>Model!AP104</f>
        <v>0</v>
      </c>
      <c r="AQ29" s="177">
        <f>Model!AQ104</f>
        <v>0</v>
      </c>
      <c r="AR29" s="177">
        <f>Model!AR104</f>
        <v>0</v>
      </c>
      <c r="AS29" s="177">
        <f>Model!AS104</f>
        <v>0</v>
      </c>
      <c r="AT29" s="177">
        <f>Model!AT104</f>
        <v>0</v>
      </c>
      <c r="AU29" s="177">
        <f>Model!AU104</f>
        <v>0</v>
      </c>
      <c r="AV29" s="177">
        <f>Model!AV104</f>
        <v>0</v>
      </c>
      <c r="AW29" s="177">
        <f>Model!AW104</f>
        <v>0</v>
      </c>
      <c r="AX29" s="177">
        <f>Model!AX104</f>
        <v>0</v>
      </c>
      <c r="AY29" s="177">
        <f>Model!AY104</f>
        <v>0</v>
      </c>
      <c r="AZ29" s="177">
        <f>Model!AZ104</f>
        <v>0</v>
      </c>
      <c r="BA29" s="177">
        <f>Model!BA104</f>
        <v>0</v>
      </c>
      <c r="BB29" s="177">
        <f>Model!BB104</f>
        <v>0</v>
      </c>
      <c r="BC29" s="177">
        <f>Model!BC104</f>
        <v>0</v>
      </c>
      <c r="BD29" s="177">
        <f>Model!BD104</f>
        <v>0</v>
      </c>
      <c r="BE29" s="177">
        <f>Model!BE104</f>
        <v>0</v>
      </c>
      <c r="BF29" s="177">
        <f>Model!BF104</f>
        <v>0</v>
      </c>
      <c r="BG29" s="177">
        <f>Model!BG104</f>
        <v>0</v>
      </c>
      <c r="BH29" s="177">
        <f>Model!BH104</f>
        <v>0</v>
      </c>
      <c r="BI29" s="177">
        <f>Model!BI104</f>
        <v>0</v>
      </c>
      <c r="BJ29" s="177">
        <f>Model!BJ104</f>
        <v>0</v>
      </c>
      <c r="BK29" s="177">
        <f>Model!BK104</f>
        <v>0</v>
      </c>
      <c r="BL29" s="177">
        <f>Model!BL104</f>
        <v>0</v>
      </c>
      <c r="BM29" s="177">
        <f>Model!BM104</f>
        <v>0</v>
      </c>
      <c r="BN29" s="177">
        <f>Model!BN104</f>
        <v>0</v>
      </c>
      <c r="BO29" s="177">
        <f>Model!BO104</f>
        <v>0</v>
      </c>
      <c r="BP29" s="177">
        <f>Model!BP104</f>
        <v>0</v>
      </c>
      <c r="BQ29" s="177">
        <f>Model!BQ104</f>
        <v>0</v>
      </c>
      <c r="BR29" s="177">
        <f>Model!BR104</f>
        <v>0</v>
      </c>
    </row>
    <row r="30">
      <c r="A30" s="170"/>
      <c r="B30" s="215" t="s">
        <v>208</v>
      </c>
      <c r="C30" s="170"/>
      <c r="D30" s="170"/>
      <c r="E30" s="214">
        <f t="shared" ref="E30:I30" si="18">INDEX($K30:$BR30,,MATCH(E$2,$K$2:$BR$2,0)+11)</f>
        <v>0</v>
      </c>
      <c r="F30" s="214">
        <f t="shared" si="18"/>
        <v>0</v>
      </c>
      <c r="G30" s="214">
        <f t="shared" si="18"/>
        <v>0</v>
      </c>
      <c r="H30" s="214">
        <f t="shared" si="18"/>
        <v>0</v>
      </c>
      <c r="I30" s="214">
        <f t="shared" si="18"/>
        <v>0</v>
      </c>
      <c r="J30" s="170"/>
      <c r="K30" s="177">
        <v>0.0</v>
      </c>
      <c r="L30" s="177">
        <v>0.0</v>
      </c>
      <c r="M30" s="177">
        <v>0.0</v>
      </c>
      <c r="N30" s="177">
        <v>0.0</v>
      </c>
      <c r="O30" s="177">
        <v>0.0</v>
      </c>
      <c r="P30" s="177">
        <v>0.0</v>
      </c>
      <c r="Q30" s="177">
        <v>0.0</v>
      </c>
      <c r="R30" s="177">
        <v>0.0</v>
      </c>
      <c r="S30" s="177">
        <v>0.0</v>
      </c>
      <c r="T30" s="177">
        <v>0.0</v>
      </c>
      <c r="U30" s="177">
        <v>0.0</v>
      </c>
      <c r="V30" s="177">
        <v>0.0</v>
      </c>
      <c r="W30" s="177">
        <v>0.0</v>
      </c>
      <c r="X30" s="177">
        <v>0.0</v>
      </c>
      <c r="Y30" s="177">
        <v>0.0</v>
      </c>
      <c r="Z30" s="177">
        <v>0.0</v>
      </c>
      <c r="AA30" s="177">
        <v>0.0</v>
      </c>
      <c r="AB30" s="177">
        <v>0.0</v>
      </c>
      <c r="AC30" s="177">
        <v>0.0</v>
      </c>
      <c r="AD30" s="177">
        <v>0.0</v>
      </c>
      <c r="AE30" s="177">
        <v>0.0</v>
      </c>
      <c r="AF30" s="177">
        <v>0.0</v>
      </c>
      <c r="AG30" s="177">
        <v>0.0</v>
      </c>
      <c r="AH30" s="177">
        <v>0.0</v>
      </c>
      <c r="AI30" s="177">
        <v>0.0</v>
      </c>
      <c r="AJ30" s="177">
        <v>0.0</v>
      </c>
      <c r="AK30" s="177">
        <v>0.0</v>
      </c>
      <c r="AL30" s="177">
        <v>0.0</v>
      </c>
      <c r="AM30" s="177">
        <v>0.0</v>
      </c>
      <c r="AN30" s="177">
        <v>0.0</v>
      </c>
      <c r="AO30" s="177">
        <v>0.0</v>
      </c>
      <c r="AP30" s="177">
        <v>0.0</v>
      </c>
      <c r="AQ30" s="177">
        <v>0.0</v>
      </c>
      <c r="AR30" s="177">
        <v>0.0</v>
      </c>
      <c r="AS30" s="177">
        <v>0.0</v>
      </c>
      <c r="AT30" s="177">
        <v>0.0</v>
      </c>
      <c r="AU30" s="177">
        <v>0.0</v>
      </c>
      <c r="AV30" s="177">
        <v>0.0</v>
      </c>
      <c r="AW30" s="177">
        <v>0.0</v>
      </c>
      <c r="AX30" s="177">
        <v>0.0</v>
      </c>
      <c r="AY30" s="177">
        <v>0.0</v>
      </c>
      <c r="AZ30" s="177">
        <v>0.0</v>
      </c>
      <c r="BA30" s="177">
        <v>0.0</v>
      </c>
      <c r="BB30" s="177">
        <v>0.0</v>
      </c>
      <c r="BC30" s="177">
        <v>0.0</v>
      </c>
      <c r="BD30" s="177">
        <v>0.0</v>
      </c>
      <c r="BE30" s="177">
        <v>0.0</v>
      </c>
      <c r="BF30" s="177">
        <v>0.0</v>
      </c>
      <c r="BG30" s="177">
        <v>0.0</v>
      </c>
      <c r="BH30" s="177">
        <v>0.0</v>
      </c>
      <c r="BI30" s="177">
        <v>0.0</v>
      </c>
      <c r="BJ30" s="177">
        <v>0.0</v>
      </c>
      <c r="BK30" s="177">
        <v>0.0</v>
      </c>
      <c r="BL30" s="177">
        <v>0.0</v>
      </c>
      <c r="BM30" s="177">
        <v>0.0</v>
      </c>
      <c r="BN30" s="177">
        <v>0.0</v>
      </c>
      <c r="BO30" s="177">
        <v>0.0</v>
      </c>
      <c r="BP30" s="177">
        <v>0.0</v>
      </c>
      <c r="BQ30" s="177">
        <v>0.0</v>
      </c>
      <c r="BR30" s="177">
        <v>0.0</v>
      </c>
    </row>
    <row r="31">
      <c r="A31" s="170"/>
      <c r="B31" s="215" t="s">
        <v>209</v>
      </c>
      <c r="C31" s="216"/>
      <c r="D31" s="216"/>
      <c r="E31" s="214">
        <f t="shared" ref="E31:I31" si="19">INDEX($K31:$BR31,,MATCH(E$2,$K$2:$BR$2,0)+11)</f>
        <v>0</v>
      </c>
      <c r="F31" s="214">
        <f t="shared" si="19"/>
        <v>0</v>
      </c>
      <c r="G31" s="214">
        <f t="shared" si="19"/>
        <v>0</v>
      </c>
      <c r="H31" s="214">
        <f t="shared" si="19"/>
        <v>0</v>
      </c>
      <c r="I31" s="214">
        <f t="shared" si="19"/>
        <v>0</v>
      </c>
      <c r="J31" s="170"/>
      <c r="K31" s="177">
        <v>0.0</v>
      </c>
      <c r="L31" s="177">
        <v>0.0</v>
      </c>
      <c r="M31" s="177">
        <v>0.0</v>
      </c>
      <c r="N31" s="177">
        <v>0.0</v>
      </c>
      <c r="O31" s="177">
        <v>0.0</v>
      </c>
      <c r="P31" s="177">
        <v>0.0</v>
      </c>
      <c r="Q31" s="177">
        <v>0.0</v>
      </c>
      <c r="R31" s="177">
        <v>0.0</v>
      </c>
      <c r="S31" s="177">
        <v>0.0</v>
      </c>
      <c r="T31" s="177">
        <v>0.0</v>
      </c>
      <c r="U31" s="177">
        <v>0.0</v>
      </c>
      <c r="V31" s="177">
        <v>0.0</v>
      </c>
      <c r="W31" s="177">
        <v>0.0</v>
      </c>
      <c r="X31" s="177">
        <v>0.0</v>
      </c>
      <c r="Y31" s="177">
        <v>0.0</v>
      </c>
      <c r="Z31" s="177">
        <v>0.0</v>
      </c>
      <c r="AA31" s="177">
        <v>0.0</v>
      </c>
      <c r="AB31" s="177">
        <v>0.0</v>
      </c>
      <c r="AC31" s="177">
        <v>0.0</v>
      </c>
      <c r="AD31" s="177">
        <v>0.0</v>
      </c>
      <c r="AE31" s="177">
        <v>0.0</v>
      </c>
      <c r="AF31" s="177">
        <v>0.0</v>
      </c>
      <c r="AG31" s="177">
        <v>0.0</v>
      </c>
      <c r="AH31" s="177">
        <v>0.0</v>
      </c>
      <c r="AI31" s="177">
        <v>0.0</v>
      </c>
      <c r="AJ31" s="177">
        <v>0.0</v>
      </c>
      <c r="AK31" s="177">
        <v>0.0</v>
      </c>
      <c r="AL31" s="177">
        <v>0.0</v>
      </c>
      <c r="AM31" s="177">
        <v>0.0</v>
      </c>
      <c r="AN31" s="177">
        <v>0.0</v>
      </c>
      <c r="AO31" s="177">
        <v>0.0</v>
      </c>
      <c r="AP31" s="177">
        <v>0.0</v>
      </c>
      <c r="AQ31" s="177">
        <v>0.0</v>
      </c>
      <c r="AR31" s="177">
        <v>0.0</v>
      </c>
      <c r="AS31" s="177">
        <v>0.0</v>
      </c>
      <c r="AT31" s="177">
        <v>0.0</v>
      </c>
      <c r="AU31" s="177">
        <v>0.0</v>
      </c>
      <c r="AV31" s="177">
        <v>0.0</v>
      </c>
      <c r="AW31" s="177">
        <v>0.0</v>
      </c>
      <c r="AX31" s="177">
        <v>0.0</v>
      </c>
      <c r="AY31" s="177">
        <v>0.0</v>
      </c>
      <c r="AZ31" s="177">
        <v>0.0</v>
      </c>
      <c r="BA31" s="177">
        <v>0.0</v>
      </c>
      <c r="BB31" s="177">
        <v>0.0</v>
      </c>
      <c r="BC31" s="177">
        <v>0.0</v>
      </c>
      <c r="BD31" s="177">
        <v>0.0</v>
      </c>
      <c r="BE31" s="177">
        <v>0.0</v>
      </c>
      <c r="BF31" s="177">
        <v>0.0</v>
      </c>
      <c r="BG31" s="177">
        <v>0.0</v>
      </c>
      <c r="BH31" s="177">
        <v>0.0</v>
      </c>
      <c r="BI31" s="177">
        <v>0.0</v>
      </c>
      <c r="BJ31" s="177">
        <v>0.0</v>
      </c>
      <c r="BK31" s="177">
        <v>0.0</v>
      </c>
      <c r="BL31" s="177">
        <v>0.0</v>
      </c>
      <c r="BM31" s="177">
        <v>0.0</v>
      </c>
      <c r="BN31" s="177">
        <v>0.0</v>
      </c>
      <c r="BO31" s="177">
        <v>0.0</v>
      </c>
      <c r="BP31" s="177">
        <v>0.0</v>
      </c>
      <c r="BQ31" s="177">
        <v>0.0</v>
      </c>
      <c r="BR31" s="177">
        <v>0.0</v>
      </c>
    </row>
    <row r="32">
      <c r="A32" s="170"/>
      <c r="B32" s="215"/>
      <c r="C32" s="187"/>
      <c r="D32" s="187"/>
      <c r="E32" s="182"/>
      <c r="F32" s="182"/>
      <c r="G32" s="182"/>
      <c r="H32" s="182"/>
      <c r="I32" s="182"/>
      <c r="J32" s="170"/>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2"/>
      <c r="BD32" s="182"/>
      <c r="BE32" s="182"/>
      <c r="BF32" s="182"/>
      <c r="BG32" s="182"/>
      <c r="BH32" s="182"/>
      <c r="BI32" s="182"/>
      <c r="BJ32" s="182"/>
      <c r="BK32" s="182"/>
      <c r="BL32" s="182"/>
      <c r="BM32" s="182"/>
      <c r="BN32" s="182"/>
      <c r="BO32" s="182"/>
      <c r="BP32" s="182"/>
      <c r="BQ32" s="182"/>
      <c r="BR32" s="182"/>
    </row>
    <row r="33">
      <c r="A33" s="170"/>
      <c r="B33" s="212" t="s">
        <v>210</v>
      </c>
      <c r="C33" s="220"/>
      <c r="D33" s="220"/>
      <c r="E33" s="170">
        <f t="shared" ref="E33:I33" si="20">SUM(E28:E32)</f>
        <v>20853.09591</v>
      </c>
      <c r="F33" s="170">
        <f t="shared" si="20"/>
        <v>29016.25027</v>
      </c>
      <c r="G33" s="170">
        <f t="shared" si="20"/>
        <v>32054.63084</v>
      </c>
      <c r="H33" s="170">
        <f t="shared" si="20"/>
        <v>34715.14939</v>
      </c>
      <c r="I33" s="170">
        <f t="shared" si="20"/>
        <v>37596.48967</v>
      </c>
      <c r="J33" s="170"/>
      <c r="K33" s="170">
        <f t="shared" ref="K33:BR33" si="21">SUM(K28:K32)</f>
        <v>8159.907097</v>
      </c>
      <c r="L33" s="170">
        <f t="shared" si="21"/>
        <v>10275.43857</v>
      </c>
      <c r="M33" s="170">
        <f t="shared" si="21"/>
        <v>11333.2043</v>
      </c>
      <c r="N33" s="170">
        <f t="shared" si="21"/>
        <v>12390.97004</v>
      </c>
      <c r="O33" s="170">
        <f t="shared" si="21"/>
        <v>13448.73577</v>
      </c>
      <c r="P33" s="170">
        <f t="shared" si="21"/>
        <v>14506.50151</v>
      </c>
      <c r="Q33" s="170">
        <f t="shared" si="21"/>
        <v>15564.26724</v>
      </c>
      <c r="R33" s="170">
        <f t="shared" si="21"/>
        <v>16622.03297</v>
      </c>
      <c r="S33" s="170">
        <f t="shared" si="21"/>
        <v>17679.79871</v>
      </c>
      <c r="T33" s="170">
        <f t="shared" si="21"/>
        <v>18737.56444</v>
      </c>
      <c r="U33" s="170">
        <f t="shared" si="21"/>
        <v>19795.33018</v>
      </c>
      <c r="V33" s="170">
        <f t="shared" si="21"/>
        <v>20853.09591</v>
      </c>
      <c r="W33" s="170">
        <f t="shared" si="21"/>
        <v>21910.86165</v>
      </c>
      <c r="X33" s="170">
        <f t="shared" si="21"/>
        <v>22968.62738</v>
      </c>
      <c r="Y33" s="170">
        <f t="shared" si="21"/>
        <v>24026.39312</v>
      </c>
      <c r="Z33" s="170">
        <f t="shared" si="21"/>
        <v>25084.15885</v>
      </c>
      <c r="AA33" s="170">
        <f t="shared" si="21"/>
        <v>26141.92459</v>
      </c>
      <c r="AB33" s="170">
        <f t="shared" si="21"/>
        <v>27199.69032</v>
      </c>
      <c r="AC33" s="170">
        <f t="shared" si="21"/>
        <v>27494.35363</v>
      </c>
      <c r="AD33" s="170">
        <f t="shared" si="21"/>
        <v>27792.20913</v>
      </c>
      <c r="AE33" s="170">
        <f t="shared" si="21"/>
        <v>28093.2914</v>
      </c>
      <c r="AF33" s="170">
        <f t="shared" si="21"/>
        <v>28397.63539</v>
      </c>
      <c r="AG33" s="170">
        <f t="shared" si="21"/>
        <v>28705.27644</v>
      </c>
      <c r="AH33" s="170">
        <f t="shared" si="21"/>
        <v>29016.25027</v>
      </c>
      <c r="AI33" s="170">
        <f t="shared" si="21"/>
        <v>29258.05235</v>
      </c>
      <c r="AJ33" s="170">
        <f t="shared" si="21"/>
        <v>29501.86945</v>
      </c>
      <c r="AK33" s="170">
        <f t="shared" si="21"/>
        <v>29747.71837</v>
      </c>
      <c r="AL33" s="170">
        <f t="shared" si="21"/>
        <v>29995.61602</v>
      </c>
      <c r="AM33" s="170">
        <f t="shared" si="21"/>
        <v>30245.57949</v>
      </c>
      <c r="AN33" s="170">
        <f t="shared" si="21"/>
        <v>30497.62598</v>
      </c>
      <c r="AO33" s="170">
        <f t="shared" si="21"/>
        <v>30751.77287</v>
      </c>
      <c r="AP33" s="170">
        <f t="shared" si="21"/>
        <v>31008.03764</v>
      </c>
      <c r="AQ33" s="170">
        <f t="shared" si="21"/>
        <v>31266.43795</v>
      </c>
      <c r="AR33" s="170">
        <f t="shared" si="21"/>
        <v>31526.9916</v>
      </c>
      <c r="AS33" s="170">
        <f t="shared" si="21"/>
        <v>31789.71653</v>
      </c>
      <c r="AT33" s="170">
        <f t="shared" si="21"/>
        <v>32054.63084</v>
      </c>
      <c r="AU33" s="170">
        <f t="shared" si="21"/>
        <v>32268.32838</v>
      </c>
      <c r="AV33" s="170">
        <f t="shared" si="21"/>
        <v>32483.45057</v>
      </c>
      <c r="AW33" s="170">
        <f t="shared" si="21"/>
        <v>32700.0069</v>
      </c>
      <c r="AX33" s="170">
        <f t="shared" si="21"/>
        <v>32918.00695</v>
      </c>
      <c r="AY33" s="170">
        <f t="shared" si="21"/>
        <v>33137.46033</v>
      </c>
      <c r="AZ33" s="170">
        <f t="shared" si="21"/>
        <v>33358.37673</v>
      </c>
      <c r="BA33" s="170">
        <f t="shared" si="21"/>
        <v>33580.76591</v>
      </c>
      <c r="BB33" s="170">
        <f t="shared" si="21"/>
        <v>33804.63768</v>
      </c>
      <c r="BC33" s="170">
        <f t="shared" si="21"/>
        <v>34030.00193</v>
      </c>
      <c r="BD33" s="170">
        <f t="shared" si="21"/>
        <v>34256.86861</v>
      </c>
      <c r="BE33" s="170">
        <f t="shared" si="21"/>
        <v>34485.24774</v>
      </c>
      <c r="BF33" s="170">
        <f t="shared" si="21"/>
        <v>34715.14939</v>
      </c>
      <c r="BG33" s="170">
        <f t="shared" si="21"/>
        <v>34946.58372</v>
      </c>
      <c r="BH33" s="170">
        <f t="shared" si="21"/>
        <v>35179.56094</v>
      </c>
      <c r="BI33" s="170">
        <f t="shared" si="21"/>
        <v>35414.09135</v>
      </c>
      <c r="BJ33" s="170">
        <f t="shared" si="21"/>
        <v>35650.18529</v>
      </c>
      <c r="BK33" s="170">
        <f t="shared" si="21"/>
        <v>35887.85319</v>
      </c>
      <c r="BL33" s="170">
        <f t="shared" si="21"/>
        <v>36127.10555</v>
      </c>
      <c r="BM33" s="170">
        <f t="shared" si="21"/>
        <v>36367.95292</v>
      </c>
      <c r="BN33" s="170">
        <f t="shared" si="21"/>
        <v>36610.40594</v>
      </c>
      <c r="BO33" s="170">
        <f t="shared" si="21"/>
        <v>36854.47531</v>
      </c>
      <c r="BP33" s="170">
        <f t="shared" si="21"/>
        <v>37100.17181</v>
      </c>
      <c r="BQ33" s="170">
        <f t="shared" si="21"/>
        <v>37347.50629</v>
      </c>
      <c r="BR33" s="170">
        <f t="shared" si="21"/>
        <v>37596.48967</v>
      </c>
    </row>
    <row r="34">
      <c r="A34" s="170"/>
      <c r="B34" s="213"/>
      <c r="C34" s="179"/>
      <c r="D34" s="179"/>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row>
    <row r="35">
      <c r="A35" s="170"/>
      <c r="B35" s="212" t="s">
        <v>211</v>
      </c>
      <c r="C35" s="179"/>
      <c r="D35" s="179"/>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row>
    <row r="36">
      <c r="A36" s="170"/>
      <c r="B36" s="213" t="s">
        <v>212</v>
      </c>
      <c r="C36" s="179"/>
      <c r="D36" s="179"/>
      <c r="E36" s="214">
        <f t="shared" ref="E36:I36" si="22">INDEX($K36:$BR36,,MATCH(E$2,$K$2:$BR$2,0)+11)</f>
        <v>219450</v>
      </c>
      <c r="F36" s="214">
        <f t="shared" si="22"/>
        <v>199500</v>
      </c>
      <c r="G36" s="214">
        <f t="shared" si="22"/>
        <v>179550</v>
      </c>
      <c r="H36" s="214">
        <f t="shared" si="22"/>
        <v>159600</v>
      </c>
      <c r="I36" s="214">
        <f t="shared" si="22"/>
        <v>139650</v>
      </c>
      <c r="J36" s="170"/>
      <c r="K36" s="177">
        <f>Model!K107</f>
        <v>237737.5</v>
      </c>
      <c r="L36" s="177">
        <f>Model!L107</f>
        <v>236075</v>
      </c>
      <c r="M36" s="177">
        <f>Model!M107</f>
        <v>234412.5</v>
      </c>
      <c r="N36" s="177">
        <f>Model!N107</f>
        <v>232750</v>
      </c>
      <c r="O36" s="177">
        <f>Model!O107</f>
        <v>231087.5</v>
      </c>
      <c r="P36" s="177">
        <f>Model!P107</f>
        <v>229425</v>
      </c>
      <c r="Q36" s="177">
        <f>Model!Q107</f>
        <v>227762.5</v>
      </c>
      <c r="R36" s="177">
        <f>Model!R107</f>
        <v>226100</v>
      </c>
      <c r="S36" s="177">
        <f>Model!S107</f>
        <v>224437.5</v>
      </c>
      <c r="T36" s="177">
        <f>Model!T107</f>
        <v>222775</v>
      </c>
      <c r="U36" s="177">
        <f>Model!U107</f>
        <v>221112.5</v>
      </c>
      <c r="V36" s="177">
        <f>Model!V107</f>
        <v>219450</v>
      </c>
      <c r="W36" s="177">
        <f>Model!W107</f>
        <v>217787.5</v>
      </c>
      <c r="X36" s="177">
        <f>Model!X107</f>
        <v>216125</v>
      </c>
      <c r="Y36" s="177">
        <f>Model!Y107</f>
        <v>214462.5</v>
      </c>
      <c r="Z36" s="177">
        <f>Model!Z107</f>
        <v>212800</v>
      </c>
      <c r="AA36" s="177">
        <f>Model!AA107</f>
        <v>211137.5</v>
      </c>
      <c r="AB36" s="177">
        <f>Model!AB107</f>
        <v>209475</v>
      </c>
      <c r="AC36" s="177">
        <f>Model!AC107</f>
        <v>207812.5</v>
      </c>
      <c r="AD36" s="177">
        <f>Model!AD107</f>
        <v>206150</v>
      </c>
      <c r="AE36" s="177">
        <f>Model!AE107</f>
        <v>204487.5</v>
      </c>
      <c r="AF36" s="177">
        <f>Model!AF107</f>
        <v>202825</v>
      </c>
      <c r="AG36" s="177">
        <f>Model!AG107</f>
        <v>201162.5</v>
      </c>
      <c r="AH36" s="177">
        <f>Model!AH107</f>
        <v>199500</v>
      </c>
      <c r="AI36" s="177">
        <f>Model!AI107</f>
        <v>197837.5</v>
      </c>
      <c r="AJ36" s="177">
        <f>Model!AJ107</f>
        <v>196175</v>
      </c>
      <c r="AK36" s="177">
        <f>Model!AK107</f>
        <v>194512.5</v>
      </c>
      <c r="AL36" s="177">
        <f>Model!AL107</f>
        <v>192850</v>
      </c>
      <c r="AM36" s="177">
        <f>Model!AM107</f>
        <v>191187.5</v>
      </c>
      <c r="AN36" s="177">
        <f>Model!AN107</f>
        <v>189525</v>
      </c>
      <c r="AO36" s="177">
        <f>Model!AO107</f>
        <v>187862.5</v>
      </c>
      <c r="AP36" s="177">
        <f>Model!AP107</f>
        <v>186200</v>
      </c>
      <c r="AQ36" s="177">
        <f>Model!AQ107</f>
        <v>184537.5</v>
      </c>
      <c r="AR36" s="177">
        <f>Model!AR107</f>
        <v>182875</v>
      </c>
      <c r="AS36" s="177">
        <f>Model!AS107</f>
        <v>181212.5</v>
      </c>
      <c r="AT36" s="177">
        <f>Model!AT107</f>
        <v>179550</v>
      </c>
      <c r="AU36" s="177">
        <f>Model!AU107</f>
        <v>177887.5</v>
      </c>
      <c r="AV36" s="177">
        <f>Model!AV107</f>
        <v>176225</v>
      </c>
      <c r="AW36" s="177">
        <f>Model!AW107</f>
        <v>174562.5</v>
      </c>
      <c r="AX36" s="177">
        <f>Model!AX107</f>
        <v>172900</v>
      </c>
      <c r="AY36" s="177">
        <f>Model!AY107</f>
        <v>171237.5</v>
      </c>
      <c r="AZ36" s="177">
        <f>Model!AZ107</f>
        <v>169575</v>
      </c>
      <c r="BA36" s="177">
        <f>Model!BA107</f>
        <v>167912.5</v>
      </c>
      <c r="BB36" s="177">
        <f>Model!BB107</f>
        <v>166250</v>
      </c>
      <c r="BC36" s="177">
        <f>Model!BC107</f>
        <v>164587.5</v>
      </c>
      <c r="BD36" s="177">
        <f>Model!BD107</f>
        <v>162925</v>
      </c>
      <c r="BE36" s="177">
        <f>Model!BE107</f>
        <v>161262.5</v>
      </c>
      <c r="BF36" s="177">
        <f>Model!BF107</f>
        <v>159600</v>
      </c>
      <c r="BG36" s="177">
        <f>Model!BG107</f>
        <v>157937.5</v>
      </c>
      <c r="BH36" s="177">
        <f>Model!BH107</f>
        <v>156275</v>
      </c>
      <c r="BI36" s="177">
        <f>Model!BI107</f>
        <v>154612.5</v>
      </c>
      <c r="BJ36" s="177">
        <f>Model!BJ107</f>
        <v>152950</v>
      </c>
      <c r="BK36" s="177">
        <f>Model!BK107</f>
        <v>151287.5</v>
      </c>
      <c r="BL36" s="177">
        <f>Model!BL107</f>
        <v>149625</v>
      </c>
      <c r="BM36" s="177">
        <f>Model!BM107</f>
        <v>147962.5</v>
      </c>
      <c r="BN36" s="177">
        <f>Model!BN107</f>
        <v>146300</v>
      </c>
      <c r="BO36" s="177">
        <f>Model!BO107</f>
        <v>144637.5</v>
      </c>
      <c r="BP36" s="177">
        <f>Model!BP107</f>
        <v>142975</v>
      </c>
      <c r="BQ36" s="177">
        <f>Model!BQ107</f>
        <v>141312.5</v>
      </c>
      <c r="BR36" s="177">
        <f>Model!BR107</f>
        <v>139650</v>
      </c>
    </row>
    <row r="37">
      <c r="A37" s="170"/>
      <c r="B37" s="215"/>
      <c r="C37" s="175"/>
      <c r="D37" s="175"/>
      <c r="E37" s="182"/>
      <c r="F37" s="182"/>
      <c r="G37" s="182"/>
      <c r="H37" s="182"/>
      <c r="I37" s="182"/>
      <c r="J37" s="170"/>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182"/>
      <c r="BE37" s="182"/>
      <c r="BF37" s="182"/>
      <c r="BG37" s="182"/>
      <c r="BH37" s="182"/>
      <c r="BI37" s="182"/>
      <c r="BJ37" s="182"/>
      <c r="BK37" s="182"/>
      <c r="BL37" s="182"/>
      <c r="BM37" s="182"/>
      <c r="BN37" s="182"/>
      <c r="BO37" s="182"/>
      <c r="BP37" s="182"/>
      <c r="BQ37" s="182"/>
      <c r="BR37" s="182"/>
    </row>
    <row r="38">
      <c r="A38" s="170"/>
      <c r="B38" s="212" t="s">
        <v>213</v>
      </c>
      <c r="C38" s="170"/>
      <c r="D38" s="170"/>
      <c r="E38" s="170">
        <f t="shared" ref="E38:I38" si="23">SUM(E36)</f>
        <v>219450</v>
      </c>
      <c r="F38" s="170">
        <f t="shared" si="23"/>
        <v>199500</v>
      </c>
      <c r="G38" s="170">
        <f t="shared" si="23"/>
        <v>179550</v>
      </c>
      <c r="H38" s="170">
        <f t="shared" si="23"/>
        <v>159600</v>
      </c>
      <c r="I38" s="170">
        <f t="shared" si="23"/>
        <v>139650</v>
      </c>
      <c r="J38" s="170"/>
      <c r="K38" s="170">
        <f t="shared" ref="K38:BR38" si="24">SUM(K36)</f>
        <v>237737.5</v>
      </c>
      <c r="L38" s="170">
        <f t="shared" si="24"/>
        <v>236075</v>
      </c>
      <c r="M38" s="170">
        <f t="shared" si="24"/>
        <v>234412.5</v>
      </c>
      <c r="N38" s="170">
        <f t="shared" si="24"/>
        <v>232750</v>
      </c>
      <c r="O38" s="170">
        <f t="shared" si="24"/>
        <v>231087.5</v>
      </c>
      <c r="P38" s="170">
        <f t="shared" si="24"/>
        <v>229425</v>
      </c>
      <c r="Q38" s="170">
        <f t="shared" si="24"/>
        <v>227762.5</v>
      </c>
      <c r="R38" s="170">
        <f t="shared" si="24"/>
        <v>226100</v>
      </c>
      <c r="S38" s="170">
        <f t="shared" si="24"/>
        <v>224437.5</v>
      </c>
      <c r="T38" s="170">
        <f t="shared" si="24"/>
        <v>222775</v>
      </c>
      <c r="U38" s="170">
        <f t="shared" si="24"/>
        <v>221112.5</v>
      </c>
      <c r="V38" s="170">
        <f t="shared" si="24"/>
        <v>219450</v>
      </c>
      <c r="W38" s="170">
        <f t="shared" si="24"/>
        <v>217787.5</v>
      </c>
      <c r="X38" s="170">
        <f t="shared" si="24"/>
        <v>216125</v>
      </c>
      <c r="Y38" s="170">
        <f t="shared" si="24"/>
        <v>214462.5</v>
      </c>
      <c r="Z38" s="170">
        <f t="shared" si="24"/>
        <v>212800</v>
      </c>
      <c r="AA38" s="170">
        <f t="shared" si="24"/>
        <v>211137.5</v>
      </c>
      <c r="AB38" s="170">
        <f t="shared" si="24"/>
        <v>209475</v>
      </c>
      <c r="AC38" s="170">
        <f t="shared" si="24"/>
        <v>207812.5</v>
      </c>
      <c r="AD38" s="170">
        <f t="shared" si="24"/>
        <v>206150</v>
      </c>
      <c r="AE38" s="170">
        <f t="shared" si="24"/>
        <v>204487.5</v>
      </c>
      <c r="AF38" s="170">
        <f t="shared" si="24"/>
        <v>202825</v>
      </c>
      <c r="AG38" s="170">
        <f t="shared" si="24"/>
        <v>201162.5</v>
      </c>
      <c r="AH38" s="170">
        <f t="shared" si="24"/>
        <v>199500</v>
      </c>
      <c r="AI38" s="170">
        <f t="shared" si="24"/>
        <v>197837.5</v>
      </c>
      <c r="AJ38" s="170">
        <f t="shared" si="24"/>
        <v>196175</v>
      </c>
      <c r="AK38" s="170">
        <f t="shared" si="24"/>
        <v>194512.5</v>
      </c>
      <c r="AL38" s="170">
        <f t="shared" si="24"/>
        <v>192850</v>
      </c>
      <c r="AM38" s="170">
        <f t="shared" si="24"/>
        <v>191187.5</v>
      </c>
      <c r="AN38" s="170">
        <f t="shared" si="24"/>
        <v>189525</v>
      </c>
      <c r="AO38" s="170">
        <f t="shared" si="24"/>
        <v>187862.5</v>
      </c>
      <c r="AP38" s="170">
        <f t="shared" si="24"/>
        <v>186200</v>
      </c>
      <c r="AQ38" s="170">
        <f t="shared" si="24"/>
        <v>184537.5</v>
      </c>
      <c r="AR38" s="170">
        <f t="shared" si="24"/>
        <v>182875</v>
      </c>
      <c r="AS38" s="170">
        <f t="shared" si="24"/>
        <v>181212.5</v>
      </c>
      <c r="AT38" s="170">
        <f t="shared" si="24"/>
        <v>179550</v>
      </c>
      <c r="AU38" s="170">
        <f t="shared" si="24"/>
        <v>177887.5</v>
      </c>
      <c r="AV38" s="170">
        <f t="shared" si="24"/>
        <v>176225</v>
      </c>
      <c r="AW38" s="170">
        <f t="shared" si="24"/>
        <v>174562.5</v>
      </c>
      <c r="AX38" s="170">
        <f t="shared" si="24"/>
        <v>172900</v>
      </c>
      <c r="AY38" s="170">
        <f t="shared" si="24"/>
        <v>171237.5</v>
      </c>
      <c r="AZ38" s="170">
        <f t="shared" si="24"/>
        <v>169575</v>
      </c>
      <c r="BA38" s="170">
        <f t="shared" si="24"/>
        <v>167912.5</v>
      </c>
      <c r="BB38" s="170">
        <f t="shared" si="24"/>
        <v>166250</v>
      </c>
      <c r="BC38" s="170">
        <f t="shared" si="24"/>
        <v>164587.5</v>
      </c>
      <c r="BD38" s="170">
        <f t="shared" si="24"/>
        <v>162925</v>
      </c>
      <c r="BE38" s="170">
        <f t="shared" si="24"/>
        <v>161262.5</v>
      </c>
      <c r="BF38" s="170">
        <f t="shared" si="24"/>
        <v>159600</v>
      </c>
      <c r="BG38" s="170">
        <f t="shared" si="24"/>
        <v>157937.5</v>
      </c>
      <c r="BH38" s="170">
        <f t="shared" si="24"/>
        <v>156275</v>
      </c>
      <c r="BI38" s="170">
        <f t="shared" si="24"/>
        <v>154612.5</v>
      </c>
      <c r="BJ38" s="170">
        <f t="shared" si="24"/>
        <v>152950</v>
      </c>
      <c r="BK38" s="170">
        <f t="shared" si="24"/>
        <v>151287.5</v>
      </c>
      <c r="BL38" s="170">
        <f t="shared" si="24"/>
        <v>149625</v>
      </c>
      <c r="BM38" s="170">
        <f t="shared" si="24"/>
        <v>147962.5</v>
      </c>
      <c r="BN38" s="170">
        <f t="shared" si="24"/>
        <v>146300</v>
      </c>
      <c r="BO38" s="170">
        <f t="shared" si="24"/>
        <v>144637.5</v>
      </c>
      <c r="BP38" s="170">
        <f t="shared" si="24"/>
        <v>142975</v>
      </c>
      <c r="BQ38" s="170">
        <f t="shared" si="24"/>
        <v>141312.5</v>
      </c>
      <c r="BR38" s="170">
        <f t="shared" si="24"/>
        <v>139650</v>
      </c>
    </row>
    <row r="39">
      <c r="A39" s="170"/>
      <c r="B39" s="213"/>
      <c r="C39" s="221"/>
      <c r="D39" s="221"/>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row>
    <row r="40">
      <c r="A40" s="170"/>
      <c r="B40" s="212" t="s">
        <v>214</v>
      </c>
      <c r="C40" s="216"/>
      <c r="D40" s="216"/>
      <c r="E40" s="170">
        <f t="shared" ref="E40:I40" si="25">E33+E38</f>
        <v>240303.0959</v>
      </c>
      <c r="F40" s="170">
        <f t="shared" si="25"/>
        <v>228516.2503</v>
      </c>
      <c r="G40" s="170">
        <f t="shared" si="25"/>
        <v>211604.6308</v>
      </c>
      <c r="H40" s="170">
        <f t="shared" si="25"/>
        <v>194315.1494</v>
      </c>
      <c r="I40" s="170">
        <f t="shared" si="25"/>
        <v>177246.4897</v>
      </c>
      <c r="J40" s="170"/>
      <c r="K40" s="170">
        <f t="shared" ref="K40:BR40" si="26">K33+K38</f>
        <v>245897.4071</v>
      </c>
      <c r="L40" s="170">
        <f t="shared" si="26"/>
        <v>246350.4386</v>
      </c>
      <c r="M40" s="170">
        <f t="shared" si="26"/>
        <v>245745.7043</v>
      </c>
      <c r="N40" s="170">
        <f t="shared" si="26"/>
        <v>245140.97</v>
      </c>
      <c r="O40" s="170">
        <f t="shared" si="26"/>
        <v>244536.2358</v>
      </c>
      <c r="P40" s="170">
        <f t="shared" si="26"/>
        <v>243931.5015</v>
      </c>
      <c r="Q40" s="170">
        <f t="shared" si="26"/>
        <v>243326.7672</v>
      </c>
      <c r="R40" s="170">
        <f t="shared" si="26"/>
        <v>242722.033</v>
      </c>
      <c r="S40" s="170">
        <f t="shared" si="26"/>
        <v>242117.2987</v>
      </c>
      <c r="T40" s="170">
        <f t="shared" si="26"/>
        <v>241512.5644</v>
      </c>
      <c r="U40" s="170">
        <f t="shared" si="26"/>
        <v>240907.8302</v>
      </c>
      <c r="V40" s="170">
        <f t="shared" si="26"/>
        <v>240303.0959</v>
      </c>
      <c r="W40" s="170">
        <f t="shared" si="26"/>
        <v>239698.3616</v>
      </c>
      <c r="X40" s="170">
        <f t="shared" si="26"/>
        <v>239093.6274</v>
      </c>
      <c r="Y40" s="170">
        <f t="shared" si="26"/>
        <v>238488.8931</v>
      </c>
      <c r="Z40" s="170">
        <f t="shared" si="26"/>
        <v>237884.1589</v>
      </c>
      <c r="AA40" s="170">
        <f t="shared" si="26"/>
        <v>237279.4246</v>
      </c>
      <c r="AB40" s="170">
        <f t="shared" si="26"/>
        <v>236674.6903</v>
      </c>
      <c r="AC40" s="170">
        <f t="shared" si="26"/>
        <v>235306.8536</v>
      </c>
      <c r="AD40" s="170">
        <f t="shared" si="26"/>
        <v>233942.2091</v>
      </c>
      <c r="AE40" s="170">
        <f t="shared" si="26"/>
        <v>232580.7914</v>
      </c>
      <c r="AF40" s="170">
        <f t="shared" si="26"/>
        <v>231222.6354</v>
      </c>
      <c r="AG40" s="170">
        <f t="shared" si="26"/>
        <v>229867.7764</v>
      </c>
      <c r="AH40" s="170">
        <f t="shared" si="26"/>
        <v>228516.2503</v>
      </c>
      <c r="AI40" s="170">
        <f t="shared" si="26"/>
        <v>227095.5524</v>
      </c>
      <c r="AJ40" s="170">
        <f t="shared" si="26"/>
        <v>225676.8695</v>
      </c>
      <c r="AK40" s="170">
        <f t="shared" si="26"/>
        <v>224260.2184</v>
      </c>
      <c r="AL40" s="170">
        <f t="shared" si="26"/>
        <v>222845.616</v>
      </c>
      <c r="AM40" s="170">
        <f t="shared" si="26"/>
        <v>221433.0795</v>
      </c>
      <c r="AN40" s="170">
        <f t="shared" si="26"/>
        <v>220022.626</v>
      </c>
      <c r="AO40" s="170">
        <f t="shared" si="26"/>
        <v>218614.2729</v>
      </c>
      <c r="AP40" s="170">
        <f t="shared" si="26"/>
        <v>217208.0376</v>
      </c>
      <c r="AQ40" s="170">
        <f t="shared" si="26"/>
        <v>215803.938</v>
      </c>
      <c r="AR40" s="170">
        <f t="shared" si="26"/>
        <v>214401.9916</v>
      </c>
      <c r="AS40" s="170">
        <f t="shared" si="26"/>
        <v>213002.2165</v>
      </c>
      <c r="AT40" s="170">
        <f t="shared" si="26"/>
        <v>211604.6308</v>
      </c>
      <c r="AU40" s="170">
        <f t="shared" si="26"/>
        <v>210155.8284</v>
      </c>
      <c r="AV40" s="170">
        <f t="shared" si="26"/>
        <v>208708.4506</v>
      </c>
      <c r="AW40" s="170">
        <f t="shared" si="26"/>
        <v>207262.5069</v>
      </c>
      <c r="AX40" s="170">
        <f t="shared" si="26"/>
        <v>205818.0069</v>
      </c>
      <c r="AY40" s="170">
        <f t="shared" si="26"/>
        <v>204374.9603</v>
      </c>
      <c r="AZ40" s="170">
        <f t="shared" si="26"/>
        <v>202933.3767</v>
      </c>
      <c r="BA40" s="170">
        <f t="shared" si="26"/>
        <v>201493.2659</v>
      </c>
      <c r="BB40" s="170">
        <f t="shared" si="26"/>
        <v>200054.6377</v>
      </c>
      <c r="BC40" s="170">
        <f t="shared" si="26"/>
        <v>198617.5019</v>
      </c>
      <c r="BD40" s="170">
        <f t="shared" si="26"/>
        <v>197181.8686</v>
      </c>
      <c r="BE40" s="170">
        <f t="shared" si="26"/>
        <v>195747.7477</v>
      </c>
      <c r="BF40" s="170">
        <f t="shared" si="26"/>
        <v>194315.1494</v>
      </c>
      <c r="BG40" s="170">
        <f t="shared" si="26"/>
        <v>192884.0837</v>
      </c>
      <c r="BH40" s="170">
        <f t="shared" si="26"/>
        <v>191454.5609</v>
      </c>
      <c r="BI40" s="170">
        <f t="shared" si="26"/>
        <v>190026.5913</v>
      </c>
      <c r="BJ40" s="170">
        <f t="shared" si="26"/>
        <v>188600.1853</v>
      </c>
      <c r="BK40" s="170">
        <f t="shared" si="26"/>
        <v>187175.3532</v>
      </c>
      <c r="BL40" s="170">
        <f t="shared" si="26"/>
        <v>185752.1055</v>
      </c>
      <c r="BM40" s="170">
        <f t="shared" si="26"/>
        <v>184330.4529</v>
      </c>
      <c r="BN40" s="170">
        <f t="shared" si="26"/>
        <v>182910.4059</v>
      </c>
      <c r="BO40" s="170">
        <f t="shared" si="26"/>
        <v>181491.9753</v>
      </c>
      <c r="BP40" s="170">
        <f t="shared" si="26"/>
        <v>180075.1718</v>
      </c>
      <c r="BQ40" s="170">
        <f t="shared" si="26"/>
        <v>178660.0063</v>
      </c>
      <c r="BR40" s="170">
        <f t="shared" si="26"/>
        <v>177246.4897</v>
      </c>
    </row>
    <row r="41">
      <c r="A41" s="170"/>
      <c r="B41" s="213"/>
      <c r="C41" s="216"/>
      <c r="D41" s="216"/>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row>
    <row r="42">
      <c r="A42" s="170"/>
      <c r="B42" s="212" t="s">
        <v>215</v>
      </c>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row>
    <row r="43">
      <c r="A43" s="170"/>
      <c r="B43" s="213" t="s">
        <v>216</v>
      </c>
      <c r="C43" s="179"/>
      <c r="D43" s="179"/>
      <c r="E43" s="214">
        <f t="shared" ref="E43:I43" si="27">INDEX($K43:$BR43,,MATCH(E$2,$K$2:$BR$2,0)+11)</f>
        <v>59850</v>
      </c>
      <c r="F43" s="214">
        <f t="shared" si="27"/>
        <v>59850</v>
      </c>
      <c r="G43" s="214">
        <f t="shared" si="27"/>
        <v>59850</v>
      </c>
      <c r="H43" s="214">
        <f t="shared" si="27"/>
        <v>59850</v>
      </c>
      <c r="I43" s="214">
        <f t="shared" si="27"/>
        <v>59850</v>
      </c>
      <c r="J43" s="170"/>
      <c r="K43" s="177">
        <f>Model!K114</f>
        <v>59850</v>
      </c>
      <c r="L43" s="177">
        <f>Model!L114</f>
        <v>59850</v>
      </c>
      <c r="M43" s="177">
        <f>Model!M114</f>
        <v>59850</v>
      </c>
      <c r="N43" s="177">
        <f>Model!N114</f>
        <v>59850</v>
      </c>
      <c r="O43" s="177">
        <f>Model!O114</f>
        <v>59850</v>
      </c>
      <c r="P43" s="177">
        <f>Model!P114</f>
        <v>59850</v>
      </c>
      <c r="Q43" s="177">
        <f>Model!Q114</f>
        <v>59850</v>
      </c>
      <c r="R43" s="177">
        <f>Model!R114</f>
        <v>59850</v>
      </c>
      <c r="S43" s="177">
        <f>Model!S114</f>
        <v>59850</v>
      </c>
      <c r="T43" s="177">
        <f>Model!T114</f>
        <v>59850</v>
      </c>
      <c r="U43" s="177">
        <f>Model!U114</f>
        <v>59850</v>
      </c>
      <c r="V43" s="177">
        <f>Model!V114</f>
        <v>59850</v>
      </c>
      <c r="W43" s="177">
        <f>Model!W114</f>
        <v>59850</v>
      </c>
      <c r="X43" s="177">
        <f>Model!X114</f>
        <v>59850</v>
      </c>
      <c r="Y43" s="177">
        <f>Model!Y114</f>
        <v>59850</v>
      </c>
      <c r="Z43" s="177">
        <f>Model!Z114</f>
        <v>59850</v>
      </c>
      <c r="AA43" s="177">
        <f>Model!AA114</f>
        <v>59850</v>
      </c>
      <c r="AB43" s="177">
        <f>Model!AB114</f>
        <v>59850</v>
      </c>
      <c r="AC43" s="177">
        <f>Model!AC114</f>
        <v>59850</v>
      </c>
      <c r="AD43" s="177">
        <f>Model!AD114</f>
        <v>59850</v>
      </c>
      <c r="AE43" s="177">
        <f>Model!AE114</f>
        <v>59850</v>
      </c>
      <c r="AF43" s="177">
        <f>Model!AF114</f>
        <v>59850</v>
      </c>
      <c r="AG43" s="177">
        <f>Model!AG114</f>
        <v>59850</v>
      </c>
      <c r="AH43" s="177">
        <f>Model!AH114</f>
        <v>59850</v>
      </c>
      <c r="AI43" s="177">
        <f>Model!AI114</f>
        <v>59850</v>
      </c>
      <c r="AJ43" s="177">
        <f>Model!AJ114</f>
        <v>59850</v>
      </c>
      <c r="AK43" s="177">
        <f>Model!AK114</f>
        <v>59850</v>
      </c>
      <c r="AL43" s="177">
        <f>Model!AL114</f>
        <v>59850</v>
      </c>
      <c r="AM43" s="177">
        <f>Model!AM114</f>
        <v>59850</v>
      </c>
      <c r="AN43" s="177">
        <f>Model!AN114</f>
        <v>59850</v>
      </c>
      <c r="AO43" s="177">
        <f>Model!AO114</f>
        <v>59850</v>
      </c>
      <c r="AP43" s="177">
        <f>Model!AP114</f>
        <v>59850</v>
      </c>
      <c r="AQ43" s="177">
        <f>Model!AQ114</f>
        <v>59850</v>
      </c>
      <c r="AR43" s="177">
        <f>Model!AR114</f>
        <v>59850</v>
      </c>
      <c r="AS43" s="177">
        <f>Model!AS114</f>
        <v>59850</v>
      </c>
      <c r="AT43" s="177">
        <f>Model!AT114</f>
        <v>59850</v>
      </c>
      <c r="AU43" s="177">
        <f>Model!AU114</f>
        <v>59850</v>
      </c>
      <c r="AV43" s="177">
        <f>Model!AV114</f>
        <v>59850</v>
      </c>
      <c r="AW43" s="177">
        <f>Model!AW114</f>
        <v>59850</v>
      </c>
      <c r="AX43" s="177">
        <f>Model!AX114</f>
        <v>59850</v>
      </c>
      <c r="AY43" s="177">
        <f>Model!AY114</f>
        <v>59850</v>
      </c>
      <c r="AZ43" s="177">
        <f>Model!AZ114</f>
        <v>59850</v>
      </c>
      <c r="BA43" s="177">
        <f>Model!BA114</f>
        <v>59850</v>
      </c>
      <c r="BB43" s="177">
        <f>Model!BB114</f>
        <v>59850</v>
      </c>
      <c r="BC43" s="177">
        <f>Model!BC114</f>
        <v>59850</v>
      </c>
      <c r="BD43" s="177">
        <f>Model!BD114</f>
        <v>59850</v>
      </c>
      <c r="BE43" s="177">
        <f>Model!BE114</f>
        <v>59850</v>
      </c>
      <c r="BF43" s="177">
        <f>Model!BF114</f>
        <v>59850</v>
      </c>
      <c r="BG43" s="177">
        <f>Model!BG114</f>
        <v>59850</v>
      </c>
      <c r="BH43" s="177">
        <f>Model!BH114</f>
        <v>59850</v>
      </c>
      <c r="BI43" s="177">
        <f>Model!BI114</f>
        <v>59850</v>
      </c>
      <c r="BJ43" s="177">
        <f>Model!BJ114</f>
        <v>59850</v>
      </c>
      <c r="BK43" s="177">
        <f>Model!BK114</f>
        <v>59850</v>
      </c>
      <c r="BL43" s="177">
        <f>Model!BL114</f>
        <v>59850</v>
      </c>
      <c r="BM43" s="177">
        <f>Model!BM114</f>
        <v>59850</v>
      </c>
      <c r="BN43" s="177">
        <f>Model!BN114</f>
        <v>59850</v>
      </c>
      <c r="BO43" s="177">
        <f>Model!BO114</f>
        <v>59850</v>
      </c>
      <c r="BP43" s="177">
        <f>Model!BP114</f>
        <v>59850</v>
      </c>
      <c r="BQ43" s="177">
        <f>Model!BQ114</f>
        <v>59850</v>
      </c>
      <c r="BR43" s="177">
        <f>Model!BR114</f>
        <v>59850</v>
      </c>
    </row>
    <row r="44">
      <c r="A44" s="170"/>
      <c r="B44" s="213" t="s">
        <v>217</v>
      </c>
      <c r="C44" s="179"/>
      <c r="D44" s="179"/>
      <c r="E44" s="214">
        <f t="shared" ref="E44:I44" si="28">INDEX($K44:$BR44,,MATCH(E$2,$K$2:$BR$2,0)+11)</f>
        <v>-100859.9225</v>
      </c>
      <c r="F44" s="214">
        <f t="shared" si="28"/>
        <v>-118478.3315</v>
      </c>
      <c r="G44" s="214">
        <f t="shared" si="28"/>
        <v>-108926.6835</v>
      </c>
      <c r="H44" s="214">
        <f t="shared" si="28"/>
        <v>-87763.9553</v>
      </c>
      <c r="I44" s="214">
        <f t="shared" si="28"/>
        <v>-10809.48724</v>
      </c>
      <c r="J44" s="170"/>
      <c r="K44" s="177">
        <f>Model!K115</f>
        <v>-12320.5499</v>
      </c>
      <c r="L44" s="177">
        <f>Model!L115</f>
        <v>-23431.05727</v>
      </c>
      <c r="M44" s="177">
        <f>Model!M115</f>
        <v>-33929.26994</v>
      </c>
      <c r="N44" s="177">
        <f>Model!N115</f>
        <v>-43815.18792</v>
      </c>
      <c r="O44" s="177">
        <f>Model!O115</f>
        <v>-53088.81119</v>
      </c>
      <c r="P44" s="177">
        <f>Model!P115</f>
        <v>-61750.13977</v>
      </c>
      <c r="Q44" s="177">
        <f>Model!Q115</f>
        <v>-69799.17365</v>
      </c>
      <c r="R44" s="177">
        <f>Model!R115</f>
        <v>-77235.91282</v>
      </c>
      <c r="S44" s="177">
        <f>Model!S115</f>
        <v>-84060.3573</v>
      </c>
      <c r="T44" s="177">
        <f>Model!T115</f>
        <v>-90272.50708</v>
      </c>
      <c r="U44" s="177">
        <f>Model!U115</f>
        <v>-95872.36216</v>
      </c>
      <c r="V44" s="177">
        <f>Model!V115</f>
        <v>-100859.9225</v>
      </c>
      <c r="W44" s="177">
        <f>Model!W115</f>
        <v>-105018.9285</v>
      </c>
      <c r="X44" s="177">
        <f>Model!X115</f>
        <v>-108548.5612</v>
      </c>
      <c r="Y44" s="177">
        <f>Model!Y115</f>
        <v>-111448.8207</v>
      </c>
      <c r="Z44" s="177">
        <f>Model!Z115</f>
        <v>-113719.7069</v>
      </c>
      <c r="AA44" s="177">
        <f>Model!AA115</f>
        <v>-115361.22</v>
      </c>
      <c r="AB44" s="177">
        <f>Model!AB115</f>
        <v>-116373.3599</v>
      </c>
      <c r="AC44" s="177">
        <f>Model!AC115</f>
        <v>-117199.6798</v>
      </c>
      <c r="AD44" s="177">
        <f>Model!AD115</f>
        <v>-117838.3244</v>
      </c>
      <c r="AE44" s="177">
        <f>Model!AE115</f>
        <v>-118287.418</v>
      </c>
      <c r="AF44" s="177">
        <f>Model!AF115</f>
        <v>-118545.0648</v>
      </c>
      <c r="AG44" s="177">
        <f>Model!AG115</f>
        <v>-118609.3484</v>
      </c>
      <c r="AH44" s="177">
        <f>Model!AH115</f>
        <v>-118478.3315</v>
      </c>
      <c r="AI44" s="177">
        <f>Model!AI115</f>
        <v>-118608.413</v>
      </c>
      <c r="AJ44" s="177">
        <f>Model!AJ115</f>
        <v>-118574.3557</v>
      </c>
      <c r="AK44" s="177">
        <f>Model!AK115</f>
        <v>-118374.9129</v>
      </c>
      <c r="AL44" s="177">
        <f>Model!AL115</f>
        <v>-118008.8278</v>
      </c>
      <c r="AM44" s="177">
        <f>Model!AM115</f>
        <v>-117474.8327</v>
      </c>
      <c r="AN44" s="177">
        <f>Model!AN115</f>
        <v>-116771.6497</v>
      </c>
      <c r="AO44" s="177">
        <f>Model!AO115</f>
        <v>-115897.9902</v>
      </c>
      <c r="AP44" s="177">
        <f>Model!AP115</f>
        <v>-114852.5547</v>
      </c>
      <c r="AQ44" s="177">
        <f>Model!AQ115</f>
        <v>-113634.0329</v>
      </c>
      <c r="AR44" s="177">
        <f>Model!AR115</f>
        <v>-112241.1038</v>
      </c>
      <c r="AS44" s="177">
        <f>Model!AS115</f>
        <v>-110672.4351</v>
      </c>
      <c r="AT44" s="177">
        <f>Model!AT115</f>
        <v>-108926.6835</v>
      </c>
      <c r="AU44" s="177">
        <f>Model!AU115</f>
        <v>-107985.4322</v>
      </c>
      <c r="AV44" s="177">
        <f>Model!AV115</f>
        <v>-106897.6477</v>
      </c>
      <c r="AW44" s="177">
        <f>Model!AW115</f>
        <v>-105662.4499</v>
      </c>
      <c r="AX44" s="177">
        <f>Model!AX115</f>
        <v>-104278.9531</v>
      </c>
      <c r="AY44" s="177">
        <f>Model!AY115</f>
        <v>-102746.2656</v>
      </c>
      <c r="AZ44" s="177">
        <f>Model!AZ115</f>
        <v>-101063.4899</v>
      </c>
      <c r="BA44" s="177">
        <f>Model!BA115</f>
        <v>-99229.72228</v>
      </c>
      <c r="BB44" s="177">
        <f>Model!BB115</f>
        <v>-97244.05311</v>
      </c>
      <c r="BC44" s="177">
        <f>Model!BC115</f>
        <v>-95105.5667</v>
      </c>
      <c r="BD44" s="177">
        <f>Model!BD115</f>
        <v>-92813.34126</v>
      </c>
      <c r="BE44" s="177">
        <f>Model!BE115</f>
        <v>-90366.44884</v>
      </c>
      <c r="BF44" s="177">
        <f>Model!BF115</f>
        <v>-87763.9553</v>
      </c>
      <c r="BG44" s="177">
        <f>Model!BG115</f>
        <v>-82235.00304</v>
      </c>
      <c r="BH44" s="177">
        <f>Model!BH115</f>
        <v>-76548.56266</v>
      </c>
      <c r="BI44" s="177">
        <f>Model!BI115</f>
        <v>-70703.68124</v>
      </c>
      <c r="BJ44" s="177">
        <f>Model!BJ115</f>
        <v>-64699.39947</v>
      </c>
      <c r="BK44" s="177">
        <f>Model!BK115</f>
        <v>-58534.75166</v>
      </c>
      <c r="BL44" s="177">
        <f>Model!BL115</f>
        <v>-52208.76569</v>
      </c>
      <c r="BM44" s="177">
        <f>Model!BM115</f>
        <v>-45720.46295</v>
      </c>
      <c r="BN44" s="177">
        <f>Model!BN115</f>
        <v>-39068.85831</v>
      </c>
      <c r="BO44" s="177">
        <f>Model!BO115</f>
        <v>-32252.96006</v>
      </c>
      <c r="BP44" s="177">
        <f>Model!BP115</f>
        <v>-25271.76989</v>
      </c>
      <c r="BQ44" s="177">
        <f>Model!BQ115</f>
        <v>-18124.28284</v>
      </c>
      <c r="BR44" s="177">
        <f>Model!BR115</f>
        <v>-10809.48724</v>
      </c>
    </row>
    <row r="45">
      <c r="A45" s="170"/>
      <c r="B45" s="213"/>
      <c r="C45" s="179"/>
      <c r="D45" s="179"/>
      <c r="E45" s="182"/>
      <c r="F45" s="182"/>
      <c r="G45" s="182"/>
      <c r="H45" s="182"/>
      <c r="I45" s="182"/>
      <c r="J45" s="170"/>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182"/>
      <c r="AQ45" s="182"/>
      <c r="AR45" s="182"/>
      <c r="AS45" s="182"/>
      <c r="AT45" s="182"/>
      <c r="AU45" s="182"/>
      <c r="AV45" s="182"/>
      <c r="AW45" s="182"/>
      <c r="AX45" s="182"/>
      <c r="AY45" s="182"/>
      <c r="AZ45" s="182"/>
      <c r="BA45" s="182"/>
      <c r="BB45" s="182"/>
      <c r="BC45" s="182"/>
      <c r="BD45" s="182"/>
      <c r="BE45" s="182"/>
      <c r="BF45" s="182"/>
      <c r="BG45" s="182"/>
      <c r="BH45" s="182"/>
      <c r="BI45" s="182"/>
      <c r="BJ45" s="182"/>
      <c r="BK45" s="182"/>
      <c r="BL45" s="182"/>
      <c r="BM45" s="182"/>
      <c r="BN45" s="182"/>
      <c r="BO45" s="182"/>
      <c r="BP45" s="182"/>
      <c r="BQ45" s="182"/>
      <c r="BR45" s="182"/>
    </row>
    <row r="46">
      <c r="A46" s="170"/>
      <c r="B46" s="212" t="s">
        <v>218</v>
      </c>
      <c r="C46" s="179"/>
      <c r="D46" s="179"/>
      <c r="E46" s="170">
        <f t="shared" ref="E46:I46" si="29">SUM(E43:E44)</f>
        <v>-41009.92255</v>
      </c>
      <c r="F46" s="170">
        <f t="shared" si="29"/>
        <v>-58628.33154</v>
      </c>
      <c r="G46" s="170">
        <f t="shared" si="29"/>
        <v>-49076.6835</v>
      </c>
      <c r="H46" s="170">
        <f t="shared" si="29"/>
        <v>-27913.9553</v>
      </c>
      <c r="I46" s="170">
        <f t="shared" si="29"/>
        <v>49040.51276</v>
      </c>
      <c r="J46" s="170"/>
      <c r="K46" s="170">
        <f t="shared" ref="K46:BR46" si="30">SUM(K43:K44)</f>
        <v>47529.4501</v>
      </c>
      <c r="L46" s="170">
        <f t="shared" si="30"/>
        <v>36418.94273</v>
      </c>
      <c r="M46" s="170">
        <f t="shared" si="30"/>
        <v>25920.73006</v>
      </c>
      <c r="N46" s="170">
        <f t="shared" si="30"/>
        <v>16034.81208</v>
      </c>
      <c r="O46" s="170">
        <f t="shared" si="30"/>
        <v>6761.188808</v>
      </c>
      <c r="P46" s="170">
        <f t="shared" si="30"/>
        <v>-1900.139769</v>
      </c>
      <c r="Q46" s="170">
        <f t="shared" si="30"/>
        <v>-9949.173646</v>
      </c>
      <c r="R46" s="170">
        <f t="shared" si="30"/>
        <v>-17385.91282</v>
      </c>
      <c r="S46" s="170">
        <f t="shared" si="30"/>
        <v>-24210.3573</v>
      </c>
      <c r="T46" s="170">
        <f t="shared" si="30"/>
        <v>-30422.50708</v>
      </c>
      <c r="U46" s="170">
        <f t="shared" si="30"/>
        <v>-36022.36216</v>
      </c>
      <c r="V46" s="170">
        <f t="shared" si="30"/>
        <v>-41009.92255</v>
      </c>
      <c r="W46" s="170">
        <f t="shared" si="30"/>
        <v>-45168.92846</v>
      </c>
      <c r="X46" s="170">
        <f t="shared" si="30"/>
        <v>-48698.56116</v>
      </c>
      <c r="Y46" s="170">
        <f t="shared" si="30"/>
        <v>-51598.82066</v>
      </c>
      <c r="Z46" s="170">
        <f t="shared" si="30"/>
        <v>-53869.70694</v>
      </c>
      <c r="AA46" s="170">
        <f t="shared" si="30"/>
        <v>-55511.22002</v>
      </c>
      <c r="AB46" s="170">
        <f t="shared" si="30"/>
        <v>-56523.35989</v>
      </c>
      <c r="AC46" s="170">
        <f t="shared" si="30"/>
        <v>-57349.67984</v>
      </c>
      <c r="AD46" s="170">
        <f t="shared" si="30"/>
        <v>-57988.3244</v>
      </c>
      <c r="AE46" s="170">
        <f t="shared" si="30"/>
        <v>-58437.41802</v>
      </c>
      <c r="AF46" s="170">
        <f t="shared" si="30"/>
        <v>-58695.06482</v>
      </c>
      <c r="AG46" s="170">
        <f t="shared" si="30"/>
        <v>-58759.34839</v>
      </c>
      <c r="AH46" s="170">
        <f t="shared" si="30"/>
        <v>-58628.33154</v>
      </c>
      <c r="AI46" s="170">
        <f t="shared" si="30"/>
        <v>-58758.41303</v>
      </c>
      <c r="AJ46" s="170">
        <f t="shared" si="30"/>
        <v>-58724.35569</v>
      </c>
      <c r="AK46" s="170">
        <f t="shared" si="30"/>
        <v>-58524.91293</v>
      </c>
      <c r="AL46" s="170">
        <f t="shared" si="30"/>
        <v>-58158.82776</v>
      </c>
      <c r="AM46" s="170">
        <f t="shared" si="30"/>
        <v>-57624.8327</v>
      </c>
      <c r="AN46" s="170">
        <f t="shared" si="30"/>
        <v>-56921.64975</v>
      </c>
      <c r="AO46" s="170">
        <f t="shared" si="30"/>
        <v>-56047.99022</v>
      </c>
      <c r="AP46" s="170">
        <f t="shared" si="30"/>
        <v>-55002.55469</v>
      </c>
      <c r="AQ46" s="170">
        <f t="shared" si="30"/>
        <v>-53784.03293</v>
      </c>
      <c r="AR46" s="170">
        <f t="shared" si="30"/>
        <v>-52391.10378</v>
      </c>
      <c r="AS46" s="170">
        <f t="shared" si="30"/>
        <v>-50822.43506</v>
      </c>
      <c r="AT46" s="170">
        <f t="shared" si="30"/>
        <v>-49076.6835</v>
      </c>
      <c r="AU46" s="170">
        <f t="shared" si="30"/>
        <v>-48135.43223</v>
      </c>
      <c r="AV46" s="170">
        <f t="shared" si="30"/>
        <v>-47047.64765</v>
      </c>
      <c r="AW46" s="170">
        <f t="shared" si="30"/>
        <v>-45812.44986</v>
      </c>
      <c r="AX46" s="170">
        <f t="shared" si="30"/>
        <v>-44428.95309</v>
      </c>
      <c r="AY46" s="170">
        <f t="shared" si="30"/>
        <v>-42896.26565</v>
      </c>
      <c r="AZ46" s="170">
        <f t="shared" si="30"/>
        <v>-41213.48992</v>
      </c>
      <c r="BA46" s="170">
        <f t="shared" si="30"/>
        <v>-39379.72228</v>
      </c>
      <c r="BB46" s="170">
        <f t="shared" si="30"/>
        <v>-37394.05311</v>
      </c>
      <c r="BC46" s="170">
        <f t="shared" si="30"/>
        <v>-35255.5667</v>
      </c>
      <c r="BD46" s="170">
        <f t="shared" si="30"/>
        <v>-32963.34126</v>
      </c>
      <c r="BE46" s="170">
        <f t="shared" si="30"/>
        <v>-30516.44884</v>
      </c>
      <c r="BF46" s="170">
        <f t="shared" si="30"/>
        <v>-27913.9553</v>
      </c>
      <c r="BG46" s="170">
        <f t="shared" si="30"/>
        <v>-22385.00304</v>
      </c>
      <c r="BH46" s="170">
        <f t="shared" si="30"/>
        <v>-16698.56266</v>
      </c>
      <c r="BI46" s="170">
        <f t="shared" si="30"/>
        <v>-10853.68124</v>
      </c>
      <c r="BJ46" s="170">
        <f t="shared" si="30"/>
        <v>-4849.399469</v>
      </c>
      <c r="BK46" s="170">
        <f t="shared" si="30"/>
        <v>1315.248336</v>
      </c>
      <c r="BL46" s="170">
        <f t="shared" si="30"/>
        <v>7641.234305</v>
      </c>
      <c r="BM46" s="170">
        <f t="shared" si="30"/>
        <v>14129.53705</v>
      </c>
      <c r="BN46" s="170">
        <f t="shared" si="30"/>
        <v>20781.14169</v>
      </c>
      <c r="BO46" s="170">
        <f t="shared" si="30"/>
        <v>27597.03994</v>
      </c>
      <c r="BP46" s="170">
        <f t="shared" si="30"/>
        <v>34578.23011</v>
      </c>
      <c r="BQ46" s="170">
        <f t="shared" si="30"/>
        <v>41725.71716</v>
      </c>
      <c r="BR46" s="170">
        <f t="shared" si="30"/>
        <v>49040.51276</v>
      </c>
    </row>
    <row r="47">
      <c r="A47" s="170"/>
      <c r="B47" s="213"/>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row>
    <row r="48">
      <c r="A48" s="170"/>
      <c r="B48" s="212" t="s">
        <v>219</v>
      </c>
      <c r="C48" s="179"/>
      <c r="D48" s="179"/>
      <c r="E48" s="218">
        <f t="shared" ref="E48:I48" si="31">E40+E46</f>
        <v>199293.1734</v>
      </c>
      <c r="F48" s="218">
        <f t="shared" si="31"/>
        <v>169887.9187</v>
      </c>
      <c r="G48" s="218">
        <f t="shared" si="31"/>
        <v>162527.9473</v>
      </c>
      <c r="H48" s="218">
        <f t="shared" si="31"/>
        <v>166401.1941</v>
      </c>
      <c r="I48" s="218">
        <f t="shared" si="31"/>
        <v>226287.0024</v>
      </c>
      <c r="J48" s="170"/>
      <c r="K48" s="218">
        <f t="shared" ref="K48:BR48" si="32">K40+K46</f>
        <v>293426.8572</v>
      </c>
      <c r="L48" s="218">
        <f t="shared" si="32"/>
        <v>282769.3813</v>
      </c>
      <c r="M48" s="218">
        <f t="shared" si="32"/>
        <v>271666.4344</v>
      </c>
      <c r="N48" s="218">
        <f t="shared" si="32"/>
        <v>261175.7821</v>
      </c>
      <c r="O48" s="218">
        <f t="shared" si="32"/>
        <v>251297.4246</v>
      </c>
      <c r="P48" s="218">
        <f t="shared" si="32"/>
        <v>242031.3617</v>
      </c>
      <c r="Q48" s="218">
        <f t="shared" si="32"/>
        <v>233377.5936</v>
      </c>
      <c r="R48" s="218">
        <f t="shared" si="32"/>
        <v>225336.1202</v>
      </c>
      <c r="S48" s="218">
        <f t="shared" si="32"/>
        <v>217906.9414</v>
      </c>
      <c r="T48" s="218">
        <f t="shared" si="32"/>
        <v>211090.0574</v>
      </c>
      <c r="U48" s="218">
        <f t="shared" si="32"/>
        <v>204885.468</v>
      </c>
      <c r="V48" s="218">
        <f t="shared" si="32"/>
        <v>199293.1734</v>
      </c>
      <c r="W48" s="218">
        <f t="shared" si="32"/>
        <v>194529.4332</v>
      </c>
      <c r="X48" s="218">
        <f t="shared" si="32"/>
        <v>190395.0662</v>
      </c>
      <c r="Y48" s="218">
        <f t="shared" si="32"/>
        <v>186890.0725</v>
      </c>
      <c r="Z48" s="218">
        <f t="shared" si="32"/>
        <v>184014.4519</v>
      </c>
      <c r="AA48" s="218">
        <f t="shared" si="32"/>
        <v>181768.2046</v>
      </c>
      <c r="AB48" s="218">
        <f t="shared" si="32"/>
        <v>180151.3304</v>
      </c>
      <c r="AC48" s="218">
        <f t="shared" si="32"/>
        <v>177957.1738</v>
      </c>
      <c r="AD48" s="218">
        <f t="shared" si="32"/>
        <v>175953.8847</v>
      </c>
      <c r="AE48" s="218">
        <f t="shared" si="32"/>
        <v>174143.3734</v>
      </c>
      <c r="AF48" s="218">
        <f t="shared" si="32"/>
        <v>172527.5706</v>
      </c>
      <c r="AG48" s="218">
        <f t="shared" si="32"/>
        <v>171108.4281</v>
      </c>
      <c r="AH48" s="218">
        <f t="shared" si="32"/>
        <v>169887.9187</v>
      </c>
      <c r="AI48" s="218">
        <f t="shared" si="32"/>
        <v>168337.1393</v>
      </c>
      <c r="AJ48" s="218">
        <f t="shared" si="32"/>
        <v>166952.5138</v>
      </c>
      <c r="AK48" s="218">
        <f t="shared" si="32"/>
        <v>165735.3054</v>
      </c>
      <c r="AL48" s="218">
        <f t="shared" si="32"/>
        <v>164686.7883</v>
      </c>
      <c r="AM48" s="218">
        <f t="shared" si="32"/>
        <v>163808.2468</v>
      </c>
      <c r="AN48" s="218">
        <f t="shared" si="32"/>
        <v>163100.9762</v>
      </c>
      <c r="AO48" s="218">
        <f t="shared" si="32"/>
        <v>162566.2826</v>
      </c>
      <c r="AP48" s="218">
        <f t="shared" si="32"/>
        <v>162205.4829</v>
      </c>
      <c r="AQ48" s="218">
        <f t="shared" si="32"/>
        <v>162019.905</v>
      </c>
      <c r="AR48" s="218">
        <f t="shared" si="32"/>
        <v>162010.8878</v>
      </c>
      <c r="AS48" s="218">
        <f t="shared" si="32"/>
        <v>162179.7815</v>
      </c>
      <c r="AT48" s="218">
        <f t="shared" si="32"/>
        <v>162527.9473</v>
      </c>
      <c r="AU48" s="218">
        <f t="shared" si="32"/>
        <v>162020.3961</v>
      </c>
      <c r="AV48" s="218">
        <f t="shared" si="32"/>
        <v>161660.8029</v>
      </c>
      <c r="AW48" s="218">
        <f t="shared" si="32"/>
        <v>161450.057</v>
      </c>
      <c r="AX48" s="218">
        <f t="shared" si="32"/>
        <v>161389.0539</v>
      </c>
      <c r="AY48" s="218">
        <f t="shared" si="32"/>
        <v>161478.6947</v>
      </c>
      <c r="AZ48" s="218">
        <f t="shared" si="32"/>
        <v>161719.8868</v>
      </c>
      <c r="BA48" s="218">
        <f t="shared" si="32"/>
        <v>162113.5436</v>
      </c>
      <c r="BB48" s="218">
        <f t="shared" si="32"/>
        <v>162660.5846</v>
      </c>
      <c r="BC48" s="218">
        <f t="shared" si="32"/>
        <v>163361.9352</v>
      </c>
      <c r="BD48" s="218">
        <f t="shared" si="32"/>
        <v>164218.5273</v>
      </c>
      <c r="BE48" s="218">
        <f t="shared" si="32"/>
        <v>165231.2989</v>
      </c>
      <c r="BF48" s="218">
        <f t="shared" si="32"/>
        <v>166401.1941</v>
      </c>
      <c r="BG48" s="218">
        <f t="shared" si="32"/>
        <v>170499.0807</v>
      </c>
      <c r="BH48" s="218">
        <f t="shared" si="32"/>
        <v>174755.9983</v>
      </c>
      <c r="BI48" s="218">
        <f t="shared" si="32"/>
        <v>179172.9101</v>
      </c>
      <c r="BJ48" s="218">
        <f t="shared" si="32"/>
        <v>183750.7858</v>
      </c>
      <c r="BK48" s="218">
        <f t="shared" si="32"/>
        <v>188490.6015</v>
      </c>
      <c r="BL48" s="218">
        <f t="shared" si="32"/>
        <v>193393.3399</v>
      </c>
      <c r="BM48" s="218">
        <f t="shared" si="32"/>
        <v>198459.99</v>
      </c>
      <c r="BN48" s="218">
        <f t="shared" si="32"/>
        <v>203691.5476</v>
      </c>
      <c r="BO48" s="218">
        <f t="shared" si="32"/>
        <v>209089.0153</v>
      </c>
      <c r="BP48" s="218">
        <f t="shared" si="32"/>
        <v>214653.4019</v>
      </c>
      <c r="BQ48" s="218">
        <f t="shared" si="32"/>
        <v>220385.7234</v>
      </c>
      <c r="BR48" s="218">
        <f t="shared" si="32"/>
        <v>226287.0024</v>
      </c>
    </row>
    <row r="49">
      <c r="A49" s="170"/>
      <c r="B49" s="222">
        <f>SUM(E49:I49)</f>
        <v>0</v>
      </c>
      <c r="C49" s="179"/>
      <c r="D49" s="179"/>
      <c r="E49" s="170">
        <f t="shared" ref="E49:I49" si="33">ROUND(E23-E48,0)</f>
        <v>0</v>
      </c>
      <c r="F49" s="170">
        <f t="shared" si="33"/>
        <v>0</v>
      </c>
      <c r="G49" s="170">
        <f t="shared" si="33"/>
        <v>0</v>
      </c>
      <c r="H49" s="170">
        <f t="shared" si="33"/>
        <v>0</v>
      </c>
      <c r="I49" s="170">
        <f t="shared" si="33"/>
        <v>0</v>
      </c>
      <c r="J49" s="170"/>
      <c r="K49" s="170">
        <f t="shared" ref="K49:BR49" si="34">ROUND(K23-K48,0)</f>
        <v>0</v>
      </c>
      <c r="L49" s="170">
        <f t="shared" si="34"/>
        <v>0</v>
      </c>
      <c r="M49" s="170">
        <f t="shared" si="34"/>
        <v>0</v>
      </c>
      <c r="N49" s="170">
        <f t="shared" si="34"/>
        <v>0</v>
      </c>
      <c r="O49" s="170">
        <f t="shared" si="34"/>
        <v>0</v>
      </c>
      <c r="P49" s="170">
        <f t="shared" si="34"/>
        <v>0</v>
      </c>
      <c r="Q49" s="170">
        <f t="shared" si="34"/>
        <v>0</v>
      </c>
      <c r="R49" s="170">
        <f t="shared" si="34"/>
        <v>0</v>
      </c>
      <c r="S49" s="170">
        <f t="shared" si="34"/>
        <v>0</v>
      </c>
      <c r="T49" s="170">
        <f t="shared" si="34"/>
        <v>0</v>
      </c>
      <c r="U49" s="170">
        <f t="shared" si="34"/>
        <v>0</v>
      </c>
      <c r="V49" s="170">
        <f t="shared" si="34"/>
        <v>0</v>
      </c>
      <c r="W49" s="170">
        <f t="shared" si="34"/>
        <v>0</v>
      </c>
      <c r="X49" s="170">
        <f t="shared" si="34"/>
        <v>0</v>
      </c>
      <c r="Y49" s="170">
        <f t="shared" si="34"/>
        <v>0</v>
      </c>
      <c r="Z49" s="170">
        <f t="shared" si="34"/>
        <v>0</v>
      </c>
      <c r="AA49" s="170">
        <f t="shared" si="34"/>
        <v>0</v>
      </c>
      <c r="AB49" s="170">
        <f t="shared" si="34"/>
        <v>0</v>
      </c>
      <c r="AC49" s="170">
        <f t="shared" si="34"/>
        <v>0</v>
      </c>
      <c r="AD49" s="170">
        <f t="shared" si="34"/>
        <v>0</v>
      </c>
      <c r="AE49" s="170">
        <f t="shared" si="34"/>
        <v>0</v>
      </c>
      <c r="AF49" s="170">
        <f t="shared" si="34"/>
        <v>0</v>
      </c>
      <c r="AG49" s="170">
        <f t="shared" si="34"/>
        <v>0</v>
      </c>
      <c r="AH49" s="170">
        <f t="shared" si="34"/>
        <v>0</v>
      </c>
      <c r="AI49" s="170">
        <f t="shared" si="34"/>
        <v>0</v>
      </c>
      <c r="AJ49" s="170">
        <f t="shared" si="34"/>
        <v>0</v>
      </c>
      <c r="AK49" s="170">
        <f t="shared" si="34"/>
        <v>0</v>
      </c>
      <c r="AL49" s="170">
        <f t="shared" si="34"/>
        <v>0</v>
      </c>
      <c r="AM49" s="170">
        <f t="shared" si="34"/>
        <v>0</v>
      </c>
      <c r="AN49" s="170">
        <f t="shared" si="34"/>
        <v>0</v>
      </c>
      <c r="AO49" s="170">
        <f t="shared" si="34"/>
        <v>0</v>
      </c>
      <c r="AP49" s="170">
        <f t="shared" si="34"/>
        <v>0</v>
      </c>
      <c r="AQ49" s="170">
        <f t="shared" si="34"/>
        <v>0</v>
      </c>
      <c r="AR49" s="170">
        <f t="shared" si="34"/>
        <v>0</v>
      </c>
      <c r="AS49" s="170">
        <f t="shared" si="34"/>
        <v>0</v>
      </c>
      <c r="AT49" s="170">
        <f t="shared" si="34"/>
        <v>0</v>
      </c>
      <c r="AU49" s="170">
        <f t="shared" si="34"/>
        <v>0</v>
      </c>
      <c r="AV49" s="170">
        <f t="shared" si="34"/>
        <v>0</v>
      </c>
      <c r="AW49" s="170">
        <f t="shared" si="34"/>
        <v>0</v>
      </c>
      <c r="AX49" s="170">
        <f t="shared" si="34"/>
        <v>0</v>
      </c>
      <c r="AY49" s="170">
        <f t="shared" si="34"/>
        <v>0</v>
      </c>
      <c r="AZ49" s="170">
        <f t="shared" si="34"/>
        <v>0</v>
      </c>
      <c r="BA49" s="170">
        <f t="shared" si="34"/>
        <v>0</v>
      </c>
      <c r="BB49" s="170">
        <f t="shared" si="34"/>
        <v>0</v>
      </c>
      <c r="BC49" s="170">
        <f t="shared" si="34"/>
        <v>0</v>
      </c>
      <c r="BD49" s="170">
        <f t="shared" si="34"/>
        <v>0</v>
      </c>
      <c r="BE49" s="170">
        <f t="shared" si="34"/>
        <v>0</v>
      </c>
      <c r="BF49" s="170">
        <f t="shared" si="34"/>
        <v>0</v>
      </c>
      <c r="BG49" s="170">
        <f t="shared" si="34"/>
        <v>0</v>
      </c>
      <c r="BH49" s="170">
        <f t="shared" si="34"/>
        <v>0</v>
      </c>
      <c r="BI49" s="170">
        <f t="shared" si="34"/>
        <v>0</v>
      </c>
      <c r="BJ49" s="170">
        <f t="shared" si="34"/>
        <v>0</v>
      </c>
      <c r="BK49" s="170">
        <f t="shared" si="34"/>
        <v>0</v>
      </c>
      <c r="BL49" s="170">
        <f t="shared" si="34"/>
        <v>0</v>
      </c>
      <c r="BM49" s="170">
        <f t="shared" si="34"/>
        <v>0</v>
      </c>
      <c r="BN49" s="170">
        <f t="shared" si="34"/>
        <v>0</v>
      </c>
      <c r="BO49" s="170">
        <f t="shared" si="34"/>
        <v>0</v>
      </c>
      <c r="BP49" s="170">
        <f t="shared" si="34"/>
        <v>0</v>
      </c>
      <c r="BQ49" s="170">
        <f t="shared" si="34"/>
        <v>0</v>
      </c>
      <c r="BR49" s="170">
        <f t="shared" si="34"/>
        <v>0</v>
      </c>
    </row>
    <row r="50">
      <c r="A50" s="170"/>
      <c r="B50" s="223"/>
      <c r="C50" s="179"/>
      <c r="D50" s="179"/>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row>
    <row r="51">
      <c r="A51" s="158"/>
      <c r="B51" s="210" t="s">
        <v>220</v>
      </c>
      <c r="C51" s="179"/>
      <c r="D51" s="179"/>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row>
    <row r="52">
      <c r="A52" s="158"/>
      <c r="B52" s="224" t="s">
        <v>221</v>
      </c>
      <c r="C52" s="179"/>
      <c r="D52" s="179"/>
      <c r="E52" s="38"/>
      <c r="F52" s="38"/>
      <c r="G52" s="38"/>
      <c r="H52" s="38"/>
      <c r="I52" s="38"/>
      <c r="J52" s="15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row>
    <row r="53">
      <c r="A53" s="158"/>
      <c r="B53" s="210"/>
      <c r="C53" s="179"/>
      <c r="D53" s="179"/>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row>
    <row r="54">
      <c r="A54" s="170"/>
      <c r="B54" s="222" t="s">
        <v>32</v>
      </c>
      <c r="C54" s="179"/>
      <c r="D54" s="179"/>
      <c r="E54" s="170">
        <f t="shared" ref="E54:I54" si="35">SUMIFS($K54:$BR54,$K$2:$BR$2,E$2)/12</f>
        <v>48376.3972</v>
      </c>
      <c r="F54" s="170">
        <f t="shared" si="35"/>
        <v>1654.072794</v>
      </c>
      <c r="G54" s="170">
        <f t="shared" si="35"/>
        <v>18956.42668</v>
      </c>
      <c r="H54" s="170">
        <f t="shared" si="35"/>
        <v>55120.349</v>
      </c>
      <c r="I54" s="170">
        <f t="shared" si="35"/>
        <v>102145.3856</v>
      </c>
      <c r="J54" s="170"/>
      <c r="K54" s="170">
        <f t="shared" ref="K54:BR54" si="36">K7-K31</f>
        <v>98240.2914</v>
      </c>
      <c r="L54" s="170">
        <f t="shared" si="36"/>
        <v>85290.70267</v>
      </c>
      <c r="M54" s="170">
        <f t="shared" si="36"/>
        <v>75696.81171</v>
      </c>
      <c r="N54" s="170">
        <f t="shared" si="36"/>
        <v>65534.67334</v>
      </c>
      <c r="O54" s="170">
        <f t="shared" si="36"/>
        <v>57275.55571</v>
      </c>
      <c r="P54" s="170">
        <f t="shared" si="36"/>
        <v>48983.36975</v>
      </c>
      <c r="Q54" s="170">
        <f t="shared" si="36"/>
        <v>38697.8534</v>
      </c>
      <c r="R54" s="170">
        <f t="shared" si="36"/>
        <v>34235.88194</v>
      </c>
      <c r="S54" s="170">
        <f t="shared" si="36"/>
        <v>26859.75723</v>
      </c>
      <c r="T54" s="170">
        <f t="shared" si="36"/>
        <v>21937.57292</v>
      </c>
      <c r="U54" s="170">
        <f t="shared" si="36"/>
        <v>15675.85368</v>
      </c>
      <c r="V54" s="170">
        <f t="shared" si="36"/>
        <v>12088.4427</v>
      </c>
      <c r="W54" s="170">
        <f t="shared" si="36"/>
        <v>8298.57941</v>
      </c>
      <c r="X54" s="170">
        <f t="shared" si="36"/>
        <v>3941.806652</v>
      </c>
      <c r="Y54" s="170">
        <f t="shared" si="36"/>
        <v>2606.972454</v>
      </c>
      <c r="Z54" s="170">
        <f t="shared" si="36"/>
        <v>-601.2378181</v>
      </c>
      <c r="AA54" s="170">
        <f t="shared" si="36"/>
        <v>-567.1416684</v>
      </c>
      <c r="AB54" s="170">
        <f t="shared" si="36"/>
        <v>-1210.138917</v>
      </c>
      <c r="AC54" s="170">
        <f t="shared" si="36"/>
        <v>-5063.183245</v>
      </c>
      <c r="AD54" s="170">
        <f t="shared" si="36"/>
        <v>472.0975615</v>
      </c>
      <c r="AE54" s="170">
        <f t="shared" si="36"/>
        <v>125.7839606</v>
      </c>
      <c r="AF54" s="170">
        <f t="shared" si="36"/>
        <v>2892.142701</v>
      </c>
      <c r="AG54" s="170">
        <f t="shared" si="36"/>
        <v>2888.391049</v>
      </c>
      <c r="AH54" s="170">
        <f t="shared" si="36"/>
        <v>6064.801389</v>
      </c>
      <c r="AI54" s="170">
        <f t="shared" si="36"/>
        <v>7594.454339</v>
      </c>
      <c r="AJ54" s="170">
        <f t="shared" si="36"/>
        <v>7748.503306</v>
      </c>
      <c r="AK54" s="170">
        <f t="shared" si="36"/>
        <v>11137.83543</v>
      </c>
      <c r="AL54" s="170">
        <f t="shared" si="36"/>
        <v>11591.74216</v>
      </c>
      <c r="AM54" s="170">
        <f t="shared" si="36"/>
        <v>15334.83464</v>
      </c>
      <c r="AN54" s="170">
        <f t="shared" si="36"/>
        <v>17681.54868</v>
      </c>
      <c r="AO54" s="170">
        <f t="shared" si="36"/>
        <v>15047.24089</v>
      </c>
      <c r="AP54" s="170">
        <f t="shared" si="36"/>
        <v>22877.7118</v>
      </c>
      <c r="AQ54" s="170">
        <f t="shared" si="36"/>
        <v>24101.25464</v>
      </c>
      <c r="AR54" s="170">
        <f t="shared" si="36"/>
        <v>28752.7196</v>
      </c>
      <c r="AS54" s="170">
        <f t="shared" si="36"/>
        <v>30292.31516</v>
      </c>
      <c r="AT54" s="170">
        <f t="shared" si="36"/>
        <v>35316.95947</v>
      </c>
      <c r="AU54" s="170">
        <f t="shared" si="36"/>
        <v>37962.39753</v>
      </c>
      <c r="AV54" s="170">
        <f t="shared" si="36"/>
        <v>39060.26917</v>
      </c>
      <c r="AW54" s="170">
        <f t="shared" si="36"/>
        <v>43686.97843</v>
      </c>
      <c r="AX54" s="170">
        <f t="shared" si="36"/>
        <v>45053.37728</v>
      </c>
      <c r="AY54" s="170">
        <f t="shared" si="36"/>
        <v>49995.62715</v>
      </c>
      <c r="AZ54" s="170">
        <f t="shared" si="36"/>
        <v>53371.17175</v>
      </c>
      <c r="BA54" s="170">
        <f t="shared" si="36"/>
        <v>53276.76178</v>
      </c>
      <c r="BB54" s="170">
        <f t="shared" si="36"/>
        <v>60569.14239</v>
      </c>
      <c r="BC54" s="170">
        <f t="shared" si="36"/>
        <v>62620.96667</v>
      </c>
      <c r="BD54" s="170">
        <f t="shared" si="36"/>
        <v>68368.94549</v>
      </c>
      <c r="BE54" s="170">
        <f t="shared" si="36"/>
        <v>70700.6965</v>
      </c>
      <c r="BF54" s="170">
        <f t="shared" si="36"/>
        <v>76777.85379</v>
      </c>
      <c r="BG54" s="170">
        <f t="shared" si="36"/>
        <v>80278.25145</v>
      </c>
      <c r="BH54" s="170">
        <f t="shared" si="36"/>
        <v>82101.42806</v>
      </c>
      <c r="BI54" s="170">
        <f t="shared" si="36"/>
        <v>87745.12668</v>
      </c>
      <c r="BJ54" s="170">
        <f t="shared" si="36"/>
        <v>89856.70335</v>
      </c>
      <c r="BK54" s="170">
        <f t="shared" si="36"/>
        <v>95839.71753</v>
      </c>
      <c r="BL54" s="170">
        <f t="shared" si="36"/>
        <v>100124.7833</v>
      </c>
      <c r="BM54" s="170">
        <f t="shared" si="36"/>
        <v>98481.25805</v>
      </c>
      <c r="BN54" s="170">
        <f t="shared" si="36"/>
        <v>109175.265</v>
      </c>
      <c r="BO54" s="170">
        <f t="shared" si="36"/>
        <v>112023.1202</v>
      </c>
      <c r="BP54" s="170">
        <f t="shared" si="36"/>
        <v>118872.7015</v>
      </c>
      <c r="BQ54" s="170">
        <f t="shared" si="36"/>
        <v>122021.3024</v>
      </c>
      <c r="BR54" s="170">
        <f t="shared" si="36"/>
        <v>129224.9691</v>
      </c>
    </row>
    <row r="55">
      <c r="A55" s="170"/>
      <c r="B55" s="225" t="s">
        <v>222</v>
      </c>
      <c r="C55" s="179"/>
      <c r="D55" s="179"/>
      <c r="E55" s="170">
        <f t="shared" ref="E55:I55" si="37">AVERAGEIFS($K55:$BR55,$K$2:$BR$2,E$2)</f>
        <v>26826.3974</v>
      </c>
      <c r="F55" s="170">
        <f t="shared" si="37"/>
        <v>38559.7339</v>
      </c>
      <c r="G55" s="170">
        <f t="shared" si="37"/>
        <v>43306.99427</v>
      </c>
      <c r="H55" s="170">
        <f t="shared" si="37"/>
        <v>47101.30101</v>
      </c>
      <c r="I55" s="170">
        <f t="shared" si="37"/>
        <v>50817.63912</v>
      </c>
      <c r="J55" s="170"/>
      <c r="K55" s="170">
        <f>'P&amp;L Statement'!K12+'P&amp;L Statement'!K17+'P&amp;L Statement'!K30</f>
        <v>19703.23583</v>
      </c>
      <c r="L55" s="170">
        <f>'P&amp;L Statement'!L12+'P&amp;L Statement'!L17+'P&amp;L Statement'!L30</f>
        <v>21923.44204</v>
      </c>
      <c r="M55" s="170">
        <f>'P&amp;L Statement'!M12+'P&amp;L Statement'!M17+'P&amp;L Statement'!M30</f>
        <v>23033.54514</v>
      </c>
      <c r="N55" s="170">
        <f>'P&amp;L Statement'!N12+'P&amp;L Statement'!N17+'P&amp;L Statement'!N30</f>
        <v>24143.64824</v>
      </c>
      <c r="O55" s="170">
        <f>'P&amp;L Statement'!O12+'P&amp;L Statement'!O17+'P&amp;L Statement'!O30</f>
        <v>25253.75134</v>
      </c>
      <c r="P55" s="170">
        <f>'P&amp;L Statement'!P12+'P&amp;L Statement'!P17+'P&amp;L Statement'!P30</f>
        <v>26363.85444</v>
      </c>
      <c r="Q55" s="170">
        <f>'P&amp;L Statement'!Q12+'P&amp;L Statement'!Q17+'P&amp;L Statement'!Q30</f>
        <v>27473.95755</v>
      </c>
      <c r="R55" s="170">
        <f>'P&amp;L Statement'!R12+'P&amp;L Statement'!R17+'P&amp;L Statement'!R30</f>
        <v>28584.06065</v>
      </c>
      <c r="S55" s="170">
        <f>'P&amp;L Statement'!S12+'P&amp;L Statement'!S17+'P&amp;L Statement'!S30</f>
        <v>29694.16375</v>
      </c>
      <c r="T55" s="170">
        <f>'P&amp;L Statement'!T12+'P&amp;L Statement'!T17+'P&amp;L Statement'!T30</f>
        <v>30804.26685</v>
      </c>
      <c r="U55" s="170">
        <f>'P&amp;L Statement'!U12+'P&amp;L Statement'!U17+'P&amp;L Statement'!U30</f>
        <v>31914.36995</v>
      </c>
      <c r="V55" s="170">
        <f>'P&amp;L Statement'!V12+'P&amp;L Statement'!V17+'P&amp;L Statement'!V30</f>
        <v>33024.47306</v>
      </c>
      <c r="W55" s="170">
        <f>'P&amp;L Statement'!W12+'P&amp;L Statement'!W17+'P&amp;L Statement'!W30</f>
        <v>33918.31639</v>
      </c>
      <c r="X55" s="170">
        <f>'P&amp;L Statement'!X12+'P&amp;L Statement'!X17+'P&amp;L Statement'!X30</f>
        <v>35011.34098</v>
      </c>
      <c r="Y55" s="170">
        <f>'P&amp;L Statement'!Y12+'P&amp;L Statement'!Y17+'P&amp;L Statement'!Y30</f>
        <v>36104.36557</v>
      </c>
      <c r="Z55" s="170">
        <f>'P&amp;L Statement'!Z12+'P&amp;L Statement'!Z17+'P&amp;L Statement'!Z30</f>
        <v>37197.39016</v>
      </c>
      <c r="AA55" s="170">
        <f>'P&amp;L Statement'!AA12+'P&amp;L Statement'!AA17+'P&amp;L Statement'!AA30</f>
        <v>38290.41476</v>
      </c>
      <c r="AB55" s="170">
        <f>'P&amp;L Statement'!AB12+'P&amp;L Statement'!AB17+'P&amp;L Statement'!AB30</f>
        <v>39383.43935</v>
      </c>
      <c r="AC55" s="170">
        <f>'P&amp;L Statement'!AC12+'P&amp;L Statement'!AC17+'P&amp;L Statement'!AC30</f>
        <v>39687.92477</v>
      </c>
      <c r="AD55" s="170">
        <f>'P&amp;L Statement'!AD12+'P&amp;L Statement'!AD17+'P&amp;L Statement'!AD30</f>
        <v>39995.70879</v>
      </c>
      <c r="AE55" s="170">
        <f>'P&amp;L Statement'!AE12+'P&amp;L Statement'!AE17+'P&amp;L Statement'!AE30</f>
        <v>40306.82713</v>
      </c>
      <c r="AF55" s="170">
        <f>'P&amp;L Statement'!AF12+'P&amp;L Statement'!AF17+'P&amp;L Statement'!AF30</f>
        <v>40621.31592</v>
      </c>
      <c r="AG55" s="170">
        <f>'P&amp;L Statement'!AG12+'P&amp;L Statement'!AG17+'P&amp;L Statement'!AG30</f>
        <v>40939.21167</v>
      </c>
      <c r="AH55" s="170">
        <f>'P&amp;L Statement'!AH12+'P&amp;L Statement'!AH17+'P&amp;L Statement'!AH30</f>
        <v>41260.55129</v>
      </c>
      <c r="AI55" s="170">
        <f>'P&amp;L Statement'!AI12+'P&amp;L Statement'!AI17+'P&amp;L Statement'!AI30</f>
        <v>41926.60612</v>
      </c>
      <c r="AJ55" s="170">
        <f>'P&amp;L Statement'!AJ12+'P&amp;L Statement'!AJ17+'P&amp;L Statement'!AJ30</f>
        <v>42170.6772</v>
      </c>
      <c r="AK55" s="170">
        <f>'P&amp;L Statement'!AK12+'P&amp;L Statement'!AK17+'P&amp;L Statement'!AK30</f>
        <v>42416.78221</v>
      </c>
      <c r="AL55" s="170">
        <f>'P&amp;L Statement'!AL12+'P&amp;L Statement'!AL17+'P&amp;L Statement'!AL30</f>
        <v>42664.93808</v>
      </c>
      <c r="AM55" s="170">
        <f>'P&amp;L Statement'!AM12+'P&amp;L Statement'!AM17+'P&amp;L Statement'!AM30</f>
        <v>42915.16193</v>
      </c>
      <c r="AN55" s="170">
        <f>'P&amp;L Statement'!AN12+'P&amp;L Statement'!AN17+'P&amp;L Statement'!AN30</f>
        <v>43167.47097</v>
      </c>
      <c r="AO55" s="170">
        <f>'P&amp;L Statement'!AO12+'P&amp;L Statement'!AO17+'P&amp;L Statement'!AO30</f>
        <v>43421.88259</v>
      </c>
      <c r="AP55" s="170">
        <f>'P&amp;L Statement'!AP12+'P&amp;L Statement'!AP17+'P&amp;L Statement'!AP30</f>
        <v>43678.41431</v>
      </c>
      <c r="AQ55" s="170">
        <f>'P&amp;L Statement'!AQ12+'P&amp;L Statement'!AQ17+'P&amp;L Statement'!AQ30</f>
        <v>43937.08379</v>
      </c>
      <c r="AR55" s="170">
        <f>'P&amp;L Statement'!AR12+'P&amp;L Statement'!AR17+'P&amp;L Statement'!AR30</f>
        <v>44197.90885</v>
      </c>
      <c r="AS55" s="170">
        <f>'P&amp;L Statement'!AS12+'P&amp;L Statement'!AS17+'P&amp;L Statement'!AS30</f>
        <v>44460.90745</v>
      </c>
      <c r="AT55" s="170">
        <f>'P&amp;L Statement'!AT12+'P&amp;L Statement'!AT17+'P&amp;L Statement'!AT30</f>
        <v>44726.09771</v>
      </c>
      <c r="AU55" s="170">
        <f>'P&amp;L Statement'!AU12+'P&amp;L Statement'!AU17+'P&amp;L Statement'!AU30</f>
        <v>45890.17735</v>
      </c>
      <c r="AV55" s="170">
        <f>'P&amp;L Statement'!AV12+'P&amp;L Statement'!AV17+'P&amp;L Statement'!AV30</f>
        <v>46105.52363</v>
      </c>
      <c r="AW55" s="170">
        <f>'P&amp;L Statement'!AW12+'P&amp;L Statement'!AW17+'P&amp;L Statement'!AW30</f>
        <v>46322.30554</v>
      </c>
      <c r="AX55" s="170">
        <f>'P&amp;L Statement'!AX12+'P&amp;L Statement'!AX17+'P&amp;L Statement'!AX30</f>
        <v>46540.53267</v>
      </c>
      <c r="AY55" s="170">
        <f>'P&amp;L Statement'!AY12+'P&amp;L Statement'!AY17+'P&amp;L Statement'!AY30</f>
        <v>46760.21465</v>
      </c>
      <c r="AZ55" s="170">
        <f>'P&amp;L Statement'!AZ12+'P&amp;L Statement'!AZ17+'P&amp;L Statement'!AZ30</f>
        <v>46981.36117</v>
      </c>
      <c r="BA55" s="170">
        <f>'P&amp;L Statement'!BA12+'P&amp;L Statement'!BA17+'P&amp;L Statement'!BA30</f>
        <v>47203.98201</v>
      </c>
      <c r="BB55" s="170">
        <f>'P&amp;L Statement'!BB12+'P&amp;L Statement'!BB17+'P&amp;L Statement'!BB30</f>
        <v>47428.08698</v>
      </c>
      <c r="BC55" s="170">
        <f>'P&amp;L Statement'!BC12+'P&amp;L Statement'!BC17+'P&amp;L Statement'!BC30</f>
        <v>47653.68599</v>
      </c>
      <c r="BD55" s="170">
        <f>'P&amp;L Statement'!BD12+'P&amp;L Statement'!BD17+'P&amp;L Statement'!BD30</f>
        <v>47880.78898</v>
      </c>
      <c r="BE55" s="170">
        <f>'P&amp;L Statement'!BE12+'P&amp;L Statement'!BE17+'P&amp;L Statement'!BE30</f>
        <v>48109.406</v>
      </c>
      <c r="BF55" s="170">
        <f>'P&amp;L Statement'!BF12+'P&amp;L Statement'!BF17+'P&amp;L Statement'!BF30</f>
        <v>48339.54714</v>
      </c>
      <c r="BG55" s="170">
        <f>'P&amp;L Statement'!BG12+'P&amp;L Statement'!BG17+'P&amp;L Statement'!BG30</f>
        <v>49505.9928</v>
      </c>
      <c r="BH55" s="170">
        <f>'P&amp;L Statement'!BH12+'P&amp;L Statement'!BH17+'P&amp;L Statement'!BH30</f>
        <v>49739.21271</v>
      </c>
      <c r="BI55" s="170">
        <f>'P&amp;L Statement'!BI12+'P&amp;L Statement'!BI17+'P&amp;L Statement'!BI30</f>
        <v>49973.98742</v>
      </c>
      <c r="BJ55" s="170">
        <f>'P&amp;L Statement'!BJ12+'P&amp;L Statement'!BJ17+'P&amp;L Statement'!BJ30</f>
        <v>50210.32729</v>
      </c>
      <c r="BK55" s="170">
        <f>'P&amp;L Statement'!BK12+'P&amp;L Statement'!BK17+'P&amp;L Statement'!BK30</f>
        <v>50448.24276</v>
      </c>
      <c r="BL55" s="170">
        <f>'P&amp;L Statement'!BL12+'P&amp;L Statement'!BL17+'P&amp;L Statement'!BL30</f>
        <v>50687.74434</v>
      </c>
      <c r="BM55" s="170">
        <f>'P&amp;L Statement'!BM12+'P&amp;L Statement'!BM17+'P&amp;L Statement'!BM30</f>
        <v>50928.84259</v>
      </c>
      <c r="BN55" s="170">
        <f>'P&amp;L Statement'!BN12+'P&amp;L Statement'!BN17+'P&amp;L Statement'!BN30</f>
        <v>51171.54817</v>
      </c>
      <c r="BO55" s="170">
        <f>'P&amp;L Statement'!BO12+'P&amp;L Statement'!BO17+'P&amp;L Statement'!BO30</f>
        <v>51415.87178</v>
      </c>
      <c r="BP55" s="170">
        <f>'P&amp;L Statement'!BP12+'P&amp;L Statement'!BP17+'P&amp;L Statement'!BP30</f>
        <v>51661.82422</v>
      </c>
      <c r="BQ55" s="170">
        <f>'P&amp;L Statement'!BQ12+'P&amp;L Statement'!BQ17+'P&amp;L Statement'!BQ30</f>
        <v>51909.41633</v>
      </c>
      <c r="BR55" s="170">
        <f>'P&amp;L Statement'!BR12+'P&amp;L Statement'!BR17+'P&amp;L Statement'!BR30</f>
        <v>52158.65907</v>
      </c>
    </row>
    <row r="56">
      <c r="A56" s="170"/>
      <c r="B56" s="222" t="s">
        <v>223</v>
      </c>
      <c r="C56" s="179"/>
      <c r="D56" s="179"/>
      <c r="E56" s="170">
        <f t="shared" ref="E56:I56" si="38">AVERAGEIFS($K56:$BR56,$K$2:$BR$2,E$2)</f>
        <v>53652.79481</v>
      </c>
      <c r="F56" s="170">
        <f t="shared" si="38"/>
        <v>77119.46779</v>
      </c>
      <c r="G56" s="170">
        <f t="shared" si="38"/>
        <v>86613.98854</v>
      </c>
      <c r="H56" s="170">
        <f t="shared" si="38"/>
        <v>94202.60202</v>
      </c>
      <c r="I56" s="170">
        <f t="shared" si="38"/>
        <v>101635.2782</v>
      </c>
      <c r="J56" s="170"/>
      <c r="K56" s="170">
        <f t="shared" ref="K56:BR56" si="39">K55*2</f>
        <v>39406.47167</v>
      </c>
      <c r="L56" s="170">
        <f t="shared" si="39"/>
        <v>43846.88407</v>
      </c>
      <c r="M56" s="170">
        <f t="shared" si="39"/>
        <v>46067.09028</v>
      </c>
      <c r="N56" s="170">
        <f t="shared" si="39"/>
        <v>48287.29648</v>
      </c>
      <c r="O56" s="170">
        <f t="shared" si="39"/>
        <v>50507.50269</v>
      </c>
      <c r="P56" s="170">
        <f t="shared" si="39"/>
        <v>52727.70889</v>
      </c>
      <c r="Q56" s="170">
        <f t="shared" si="39"/>
        <v>54947.91509</v>
      </c>
      <c r="R56" s="170">
        <f t="shared" si="39"/>
        <v>57168.1213</v>
      </c>
      <c r="S56" s="170">
        <f t="shared" si="39"/>
        <v>59388.3275</v>
      </c>
      <c r="T56" s="170">
        <f t="shared" si="39"/>
        <v>61608.5337</v>
      </c>
      <c r="U56" s="170">
        <f t="shared" si="39"/>
        <v>63828.73991</v>
      </c>
      <c r="V56" s="170">
        <f t="shared" si="39"/>
        <v>66048.94611</v>
      </c>
      <c r="W56" s="170">
        <f t="shared" si="39"/>
        <v>67836.63277</v>
      </c>
      <c r="X56" s="170">
        <f t="shared" si="39"/>
        <v>70022.68196</v>
      </c>
      <c r="Y56" s="170">
        <f t="shared" si="39"/>
        <v>72208.73114</v>
      </c>
      <c r="Z56" s="170">
        <f t="shared" si="39"/>
        <v>74394.78033</v>
      </c>
      <c r="AA56" s="170">
        <f t="shared" si="39"/>
        <v>76580.82951</v>
      </c>
      <c r="AB56" s="170">
        <f t="shared" si="39"/>
        <v>78766.8787</v>
      </c>
      <c r="AC56" s="170">
        <f t="shared" si="39"/>
        <v>79375.84954</v>
      </c>
      <c r="AD56" s="170">
        <f t="shared" si="39"/>
        <v>79991.41757</v>
      </c>
      <c r="AE56" s="170">
        <f t="shared" si="39"/>
        <v>80613.65425</v>
      </c>
      <c r="AF56" s="170">
        <f t="shared" si="39"/>
        <v>81242.63183</v>
      </c>
      <c r="AG56" s="170">
        <f t="shared" si="39"/>
        <v>81878.42334</v>
      </c>
      <c r="AH56" s="170">
        <f t="shared" si="39"/>
        <v>82521.10258</v>
      </c>
      <c r="AI56" s="170">
        <f t="shared" si="39"/>
        <v>83853.21224</v>
      </c>
      <c r="AJ56" s="170">
        <f t="shared" si="39"/>
        <v>84341.3544</v>
      </c>
      <c r="AK56" s="170">
        <f t="shared" si="39"/>
        <v>84833.56441</v>
      </c>
      <c r="AL56" s="170">
        <f t="shared" si="39"/>
        <v>85329.87617</v>
      </c>
      <c r="AM56" s="170">
        <f t="shared" si="39"/>
        <v>85830.32386</v>
      </c>
      <c r="AN56" s="170">
        <f t="shared" si="39"/>
        <v>86334.94195</v>
      </c>
      <c r="AO56" s="170">
        <f t="shared" si="39"/>
        <v>86843.76519</v>
      </c>
      <c r="AP56" s="170">
        <f t="shared" si="39"/>
        <v>87356.82862</v>
      </c>
      <c r="AQ56" s="170">
        <f t="shared" si="39"/>
        <v>87874.16758</v>
      </c>
      <c r="AR56" s="170">
        <f t="shared" si="39"/>
        <v>88395.8177</v>
      </c>
      <c r="AS56" s="170">
        <f t="shared" si="39"/>
        <v>88921.81491</v>
      </c>
      <c r="AT56" s="170">
        <f t="shared" si="39"/>
        <v>89452.19542</v>
      </c>
      <c r="AU56" s="170">
        <f t="shared" si="39"/>
        <v>91780.35471</v>
      </c>
      <c r="AV56" s="170">
        <f t="shared" si="39"/>
        <v>92211.04726</v>
      </c>
      <c r="AW56" s="170">
        <f t="shared" si="39"/>
        <v>92644.61109</v>
      </c>
      <c r="AX56" s="170">
        <f t="shared" si="39"/>
        <v>93081.06535</v>
      </c>
      <c r="AY56" s="170">
        <f t="shared" si="39"/>
        <v>93520.4293</v>
      </c>
      <c r="AZ56" s="170">
        <f t="shared" si="39"/>
        <v>93962.72235</v>
      </c>
      <c r="BA56" s="170">
        <f t="shared" si="39"/>
        <v>94407.96402</v>
      </c>
      <c r="BB56" s="170">
        <f t="shared" si="39"/>
        <v>94856.17396</v>
      </c>
      <c r="BC56" s="170">
        <f t="shared" si="39"/>
        <v>95307.37197</v>
      </c>
      <c r="BD56" s="170">
        <f t="shared" si="39"/>
        <v>95761.57797</v>
      </c>
      <c r="BE56" s="170">
        <f t="shared" si="39"/>
        <v>96218.81201</v>
      </c>
      <c r="BF56" s="170">
        <f t="shared" si="39"/>
        <v>96679.09427</v>
      </c>
      <c r="BG56" s="170">
        <f t="shared" si="39"/>
        <v>99011.9856</v>
      </c>
      <c r="BH56" s="170">
        <f t="shared" si="39"/>
        <v>99478.42542</v>
      </c>
      <c r="BI56" s="170">
        <f t="shared" si="39"/>
        <v>99947.97484</v>
      </c>
      <c r="BJ56" s="170">
        <f t="shared" si="39"/>
        <v>100420.6546</v>
      </c>
      <c r="BK56" s="170">
        <f t="shared" si="39"/>
        <v>100896.4855</v>
      </c>
      <c r="BL56" s="170">
        <f t="shared" si="39"/>
        <v>101375.4887</v>
      </c>
      <c r="BM56" s="170">
        <f t="shared" si="39"/>
        <v>101857.6852</v>
      </c>
      <c r="BN56" s="170">
        <f t="shared" si="39"/>
        <v>102343.0963</v>
      </c>
      <c r="BO56" s="170">
        <f t="shared" si="39"/>
        <v>102831.7436</v>
      </c>
      <c r="BP56" s="170">
        <f t="shared" si="39"/>
        <v>103323.6484</v>
      </c>
      <c r="BQ56" s="170">
        <f t="shared" si="39"/>
        <v>103818.8327</v>
      </c>
      <c r="BR56" s="170">
        <f t="shared" si="39"/>
        <v>104317.3181</v>
      </c>
    </row>
    <row r="57">
      <c r="A57" s="158"/>
      <c r="B57" s="210" t="s">
        <v>224</v>
      </c>
      <c r="E57" s="226">
        <f t="shared" ref="E57:I57" si="40">IFERROR(E54/E55,0)</f>
        <v>1.803313225</v>
      </c>
      <c r="F57" s="226">
        <f t="shared" si="40"/>
        <v>0.04289637471</v>
      </c>
      <c r="G57" s="226">
        <f t="shared" si="40"/>
        <v>0.4377220584</v>
      </c>
      <c r="H57" s="226">
        <f t="shared" si="40"/>
        <v>1.170251093</v>
      </c>
      <c r="I57" s="226">
        <f t="shared" si="40"/>
        <v>2.010037997</v>
      </c>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row>
    <row r="58">
      <c r="A58" s="158"/>
      <c r="B58" s="210" t="s">
        <v>225</v>
      </c>
      <c r="E58" s="170">
        <f t="shared" ref="E58:I58" si="41">E54-E56</f>
        <v>-5276.397603</v>
      </c>
      <c r="F58" s="170">
        <f t="shared" si="41"/>
        <v>-75465.395</v>
      </c>
      <c r="G58" s="170">
        <f t="shared" si="41"/>
        <v>-67657.56186</v>
      </c>
      <c r="H58" s="170">
        <f t="shared" si="41"/>
        <v>-39082.25302</v>
      </c>
      <c r="I58" s="170">
        <f t="shared" si="41"/>
        <v>510.1073061</v>
      </c>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row>
    <row r="59">
      <c r="A59" s="158"/>
      <c r="B59" s="210"/>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row>
    <row r="60">
      <c r="A60" s="158"/>
      <c r="B60" s="210"/>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row>
    <row r="61">
      <c r="A61" s="158"/>
      <c r="B61" s="210"/>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row>
    <row r="62">
      <c r="A62" s="158"/>
      <c r="B62" s="210"/>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row>
    <row r="63">
      <c r="A63" s="158"/>
      <c r="B63" s="210"/>
      <c r="E63" s="158"/>
      <c r="F63" s="158"/>
      <c r="G63" s="158"/>
      <c r="H63" s="158"/>
      <c r="I63" s="158"/>
      <c r="J63" s="158"/>
      <c r="K63" s="158"/>
      <c r="L63" s="158"/>
      <c r="M63" s="158"/>
      <c r="N63" s="158"/>
      <c r="O63" s="158"/>
      <c r="P63" s="158"/>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row>
    <row r="64">
      <c r="A64" s="158"/>
      <c r="B64" s="210"/>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row>
    <row r="65">
      <c r="A65" s="158"/>
      <c r="B65" s="210"/>
      <c r="E65" s="158"/>
      <c r="F65" s="158"/>
      <c r="G65" s="158"/>
      <c r="H65" s="158"/>
      <c r="I65" s="158"/>
      <c r="J65" s="158"/>
      <c r="K65" s="158"/>
      <c r="L65" s="158"/>
      <c r="M65" s="158"/>
      <c r="N65" s="158"/>
      <c r="O65" s="158"/>
      <c r="P65" s="158"/>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row>
    <row r="66">
      <c r="A66" s="158"/>
      <c r="B66" s="210"/>
      <c r="E66" s="158"/>
      <c r="F66" s="158"/>
      <c r="G66" s="158"/>
      <c r="H66" s="158"/>
      <c r="I66" s="158"/>
      <c r="J66" s="158"/>
      <c r="K66" s="158"/>
      <c r="L66" s="158"/>
      <c r="M66" s="158"/>
      <c r="N66" s="158"/>
      <c r="O66" s="158"/>
      <c r="P66" s="158"/>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row>
    <row r="67">
      <c r="A67" s="158"/>
      <c r="B67" s="210"/>
      <c r="E67" s="158"/>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row>
    <row r="68">
      <c r="A68" s="158"/>
      <c r="B68" s="210"/>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row>
    <row r="69">
      <c r="A69" s="158"/>
      <c r="B69" s="210"/>
      <c r="E69" s="158"/>
      <c r="F69" s="158"/>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row>
    <row r="70">
      <c r="A70" s="158"/>
      <c r="B70" s="210"/>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row>
    <row r="71">
      <c r="A71" s="158"/>
      <c r="B71" s="210"/>
      <c r="E71" s="158"/>
      <c r="F71" s="158"/>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row>
    <row r="72">
      <c r="A72" s="158"/>
      <c r="B72" s="210"/>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row>
    <row r="73">
      <c r="A73" s="158"/>
      <c r="B73" s="210"/>
      <c r="E73" s="158"/>
      <c r="F73" s="158"/>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row>
    <row r="74">
      <c r="A74" s="158"/>
      <c r="B74" s="210"/>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row>
    <row r="75">
      <c r="A75" s="158"/>
      <c r="B75" s="210"/>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row>
    <row r="76">
      <c r="A76" s="158"/>
      <c r="B76" s="210"/>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row>
    <row r="77">
      <c r="A77" s="158"/>
      <c r="B77" s="210"/>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row>
    <row r="78">
      <c r="A78" s="158"/>
      <c r="B78" s="210"/>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row>
    <row r="79">
      <c r="A79" s="158"/>
      <c r="B79" s="210"/>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row>
    <row r="80">
      <c r="A80" s="158"/>
      <c r="B80" s="210"/>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row>
    <row r="81">
      <c r="A81" s="158"/>
      <c r="B81" s="210"/>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row>
    <row r="82">
      <c r="A82" s="158"/>
      <c r="B82" s="210"/>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row>
    <row r="83">
      <c r="A83" s="158"/>
      <c r="B83" s="210"/>
      <c r="E83" s="158"/>
      <c r="F83" s="158"/>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row>
    <row r="84">
      <c r="A84" s="158"/>
      <c r="B84" s="210"/>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row>
    <row r="85">
      <c r="A85" s="158"/>
      <c r="B85" s="210"/>
      <c r="E85" s="158"/>
      <c r="F85" s="158"/>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row>
    <row r="86">
      <c r="A86" s="158"/>
      <c r="B86" s="210"/>
      <c r="E86" s="158"/>
      <c r="F86" s="158"/>
      <c r="G86" s="158"/>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row>
    <row r="87">
      <c r="A87" s="158"/>
      <c r="B87" s="210"/>
      <c r="E87" s="158"/>
      <c r="F87" s="158"/>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row>
    <row r="88">
      <c r="A88" s="158"/>
      <c r="B88" s="210"/>
      <c r="E88" s="158"/>
      <c r="F88" s="158"/>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row>
    <row r="89">
      <c r="A89" s="158"/>
      <c r="B89" s="210"/>
      <c r="E89" s="158"/>
      <c r="F89" s="158"/>
      <c r="G89" s="158"/>
      <c r="H89" s="158"/>
      <c r="I89" s="158"/>
      <c r="J89" s="158"/>
      <c r="K89" s="158"/>
      <c r="L89" s="158"/>
      <c r="M89" s="158"/>
      <c r="N89" s="158"/>
      <c r="O89" s="158"/>
      <c r="P89" s="158"/>
      <c r="Q89" s="158"/>
      <c r="R89" s="158"/>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row>
    <row r="90">
      <c r="A90" s="158"/>
      <c r="B90" s="210"/>
      <c r="E90" s="158"/>
      <c r="F90" s="158"/>
      <c r="G90" s="158"/>
      <c r="H90" s="158"/>
      <c r="I90" s="158"/>
      <c r="J90" s="158"/>
      <c r="K90" s="158"/>
      <c r="L90" s="158"/>
      <c r="M90" s="158"/>
      <c r="N90" s="158"/>
      <c r="O90" s="158"/>
      <c r="P90" s="158"/>
      <c r="Q90" s="158"/>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row>
    <row r="91">
      <c r="A91" s="158"/>
      <c r="B91" s="210"/>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row>
    <row r="92">
      <c r="A92" s="158"/>
      <c r="B92" s="210"/>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row>
    <row r="93">
      <c r="A93" s="158"/>
      <c r="B93" s="210"/>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row>
    <row r="94">
      <c r="A94" s="158"/>
      <c r="B94" s="210"/>
      <c r="E94" s="158"/>
      <c r="F94" s="158"/>
      <c r="G94" s="158"/>
      <c r="H94" s="158"/>
      <c r="I94" s="158"/>
      <c r="J94" s="158"/>
      <c r="K94" s="158"/>
      <c r="L94" s="158"/>
      <c r="M94" s="158"/>
      <c r="N94" s="158"/>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row>
    <row r="95">
      <c r="A95" s="158"/>
      <c r="B95" s="210"/>
      <c r="E95" s="158"/>
      <c r="F95" s="158"/>
      <c r="G95" s="158"/>
      <c r="H95" s="158"/>
      <c r="I95" s="158"/>
      <c r="J95" s="158"/>
      <c r="K95" s="158"/>
      <c r="L95" s="158"/>
      <c r="M95" s="158"/>
      <c r="N95" s="158"/>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row>
    <row r="96">
      <c r="A96" s="158"/>
      <c r="B96" s="210"/>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row>
    <row r="97">
      <c r="A97" s="158"/>
      <c r="B97" s="210"/>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row>
    <row r="98">
      <c r="A98" s="158"/>
      <c r="B98" s="210"/>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row>
    <row r="99">
      <c r="A99" s="158"/>
      <c r="B99" s="210"/>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row>
    <row r="100">
      <c r="A100" s="158"/>
      <c r="B100" s="210"/>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row>
    <row r="101">
      <c r="A101" s="158"/>
      <c r="B101" s="210"/>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row>
    <row r="102">
      <c r="A102" s="158"/>
      <c r="B102" s="210"/>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row>
    <row r="103">
      <c r="A103" s="158"/>
      <c r="B103" s="210"/>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row>
    <row r="104">
      <c r="A104" s="158"/>
      <c r="B104" s="210"/>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row>
    <row r="105">
      <c r="A105" s="158"/>
      <c r="B105" s="210"/>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row>
    <row r="106">
      <c r="A106" s="158"/>
      <c r="B106" s="210"/>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row>
    <row r="107">
      <c r="A107" s="158"/>
      <c r="B107" s="210"/>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row>
    <row r="108">
      <c r="A108" s="158"/>
      <c r="B108" s="210"/>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row>
    <row r="109">
      <c r="A109" s="158"/>
      <c r="B109" s="210"/>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row>
    <row r="110">
      <c r="A110" s="158"/>
      <c r="B110" s="210"/>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row>
    <row r="111">
      <c r="A111" s="158"/>
      <c r="B111" s="210"/>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row>
    <row r="112">
      <c r="A112" s="158"/>
      <c r="B112" s="210"/>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row>
    <row r="113">
      <c r="A113" s="158"/>
      <c r="B113" s="210"/>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row>
    <row r="114">
      <c r="A114" s="158"/>
      <c r="B114" s="210"/>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row>
    <row r="115">
      <c r="A115" s="158"/>
      <c r="B115" s="210"/>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row>
    <row r="116">
      <c r="A116" s="158"/>
      <c r="B116" s="210"/>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row>
    <row r="117">
      <c r="A117" s="158"/>
      <c r="B117" s="210"/>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row>
    <row r="118">
      <c r="A118" s="158"/>
      <c r="B118" s="210"/>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row>
    <row r="119">
      <c r="A119" s="158"/>
      <c r="B119" s="210"/>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row>
    <row r="120">
      <c r="A120" s="158"/>
      <c r="B120" s="210"/>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row>
    <row r="121">
      <c r="A121" s="158"/>
      <c r="B121" s="210"/>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row>
    <row r="122">
      <c r="A122" s="158"/>
      <c r="B122" s="210"/>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row>
    <row r="123">
      <c r="A123" s="158"/>
      <c r="B123" s="210"/>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row>
    <row r="124">
      <c r="A124" s="158"/>
      <c r="B124" s="210"/>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row>
    <row r="125">
      <c r="A125" s="158"/>
      <c r="B125" s="210"/>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row>
    <row r="126">
      <c r="A126" s="158"/>
      <c r="B126" s="210"/>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row>
    <row r="127">
      <c r="A127" s="158"/>
      <c r="B127" s="210"/>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row>
    <row r="128">
      <c r="A128" s="158"/>
      <c r="B128" s="210"/>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row>
    <row r="129">
      <c r="A129" s="158"/>
      <c r="B129" s="210"/>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row>
    <row r="130">
      <c r="A130" s="158"/>
      <c r="B130" s="210"/>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row>
    <row r="131">
      <c r="A131" s="158"/>
      <c r="B131" s="210"/>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row>
    <row r="132">
      <c r="A132" s="158"/>
      <c r="B132" s="210"/>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row>
    <row r="133">
      <c r="A133" s="158"/>
      <c r="B133" s="210"/>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row>
    <row r="134">
      <c r="A134" s="158"/>
      <c r="B134" s="210"/>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row>
    <row r="135">
      <c r="A135" s="158"/>
      <c r="B135" s="210"/>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row>
    <row r="136">
      <c r="A136" s="158"/>
      <c r="B136" s="210"/>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row>
    <row r="137">
      <c r="A137" s="158"/>
      <c r="B137" s="210"/>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row>
    <row r="138">
      <c r="A138" s="158"/>
      <c r="B138" s="210"/>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row>
    <row r="139">
      <c r="A139" s="158"/>
      <c r="B139" s="210"/>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row>
    <row r="140">
      <c r="A140" s="158"/>
      <c r="B140" s="210"/>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row>
    <row r="141">
      <c r="A141" s="158"/>
      <c r="B141" s="210"/>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row>
    <row r="142">
      <c r="A142" s="158"/>
      <c r="B142" s="210"/>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row>
    <row r="143">
      <c r="A143" s="158"/>
      <c r="B143" s="210"/>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row>
    <row r="144">
      <c r="A144" s="158"/>
      <c r="B144" s="210"/>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row>
    <row r="145">
      <c r="A145" s="158"/>
      <c r="B145" s="210"/>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row>
    <row r="146">
      <c r="A146" s="158"/>
      <c r="B146" s="210"/>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row>
    <row r="147">
      <c r="A147" s="158"/>
      <c r="B147" s="210"/>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row>
    <row r="148">
      <c r="A148" s="158"/>
      <c r="B148" s="210"/>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row>
    <row r="149">
      <c r="A149" s="158"/>
      <c r="B149" s="210"/>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row>
    <row r="150">
      <c r="A150" s="158"/>
      <c r="B150" s="210"/>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row>
    <row r="151">
      <c r="A151" s="158"/>
      <c r="B151" s="210"/>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row>
    <row r="152">
      <c r="A152" s="158"/>
      <c r="B152" s="210"/>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row>
    <row r="153">
      <c r="A153" s="158"/>
      <c r="B153" s="210"/>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row>
    <row r="154">
      <c r="A154" s="158"/>
      <c r="B154" s="210"/>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row>
    <row r="155">
      <c r="A155" s="158"/>
      <c r="B155" s="210"/>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row>
    <row r="156">
      <c r="A156" s="158"/>
      <c r="B156" s="210"/>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row>
    <row r="157">
      <c r="A157" s="158"/>
      <c r="B157" s="210"/>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row>
    <row r="158">
      <c r="A158" s="158"/>
      <c r="B158" s="210"/>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row>
    <row r="159">
      <c r="A159" s="158"/>
      <c r="B159" s="210"/>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row>
    <row r="160">
      <c r="A160" s="158"/>
      <c r="B160" s="210"/>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row>
    <row r="161">
      <c r="A161" s="158"/>
      <c r="B161" s="210"/>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row>
    <row r="162">
      <c r="A162" s="158"/>
      <c r="B162" s="210"/>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row>
    <row r="163">
      <c r="A163" s="158"/>
      <c r="B163" s="210"/>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row>
    <row r="164">
      <c r="A164" s="158"/>
      <c r="B164" s="210"/>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row>
    <row r="165">
      <c r="A165" s="158"/>
      <c r="B165" s="210"/>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row>
    <row r="166">
      <c r="A166" s="158"/>
      <c r="B166" s="210"/>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row>
    <row r="167">
      <c r="A167" s="158"/>
      <c r="B167" s="210"/>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row>
    <row r="168">
      <c r="A168" s="158"/>
      <c r="B168" s="210"/>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row>
    <row r="169">
      <c r="A169" s="158"/>
      <c r="B169" s="210"/>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row>
    <row r="170">
      <c r="A170" s="158"/>
      <c r="B170" s="210"/>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row>
    <row r="171">
      <c r="A171" s="158"/>
      <c r="B171" s="210"/>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row>
    <row r="172">
      <c r="A172" s="158"/>
      <c r="B172" s="210"/>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row>
    <row r="173">
      <c r="A173" s="158"/>
      <c r="B173" s="210"/>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row>
    <row r="174">
      <c r="A174" s="158"/>
      <c r="B174" s="210"/>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row>
    <row r="175">
      <c r="A175" s="158"/>
      <c r="B175" s="210"/>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row>
    <row r="176">
      <c r="A176" s="158"/>
      <c r="B176" s="210"/>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row>
    <row r="177">
      <c r="A177" s="158"/>
      <c r="B177" s="210"/>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row>
    <row r="178">
      <c r="A178" s="158"/>
      <c r="B178" s="210"/>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row>
    <row r="179">
      <c r="A179" s="158"/>
      <c r="B179" s="210"/>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row>
    <row r="180">
      <c r="A180" s="158"/>
      <c r="B180" s="210"/>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row>
    <row r="181">
      <c r="A181" s="158"/>
      <c r="B181" s="210"/>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row>
    <row r="182">
      <c r="A182" s="158"/>
      <c r="B182" s="210"/>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row>
    <row r="183">
      <c r="A183" s="158"/>
      <c r="B183" s="210"/>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row>
    <row r="184">
      <c r="A184" s="158"/>
      <c r="B184" s="210"/>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row>
    <row r="185">
      <c r="A185" s="158"/>
      <c r="B185" s="210"/>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row>
    <row r="186">
      <c r="A186" s="158"/>
      <c r="B186" s="210"/>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row>
    <row r="187">
      <c r="A187" s="158"/>
      <c r="B187" s="210"/>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row>
    <row r="188">
      <c r="A188" s="158"/>
      <c r="B188" s="210"/>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row>
    <row r="189">
      <c r="A189" s="158"/>
      <c r="B189" s="210"/>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row>
    <row r="190">
      <c r="A190" s="158"/>
      <c r="B190" s="210"/>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row>
    <row r="191">
      <c r="A191" s="158"/>
      <c r="B191" s="210"/>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row>
    <row r="192">
      <c r="A192" s="158"/>
      <c r="B192" s="210"/>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row>
    <row r="193">
      <c r="A193" s="158"/>
      <c r="B193" s="210"/>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row>
    <row r="194">
      <c r="A194" s="158"/>
      <c r="B194" s="210"/>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row>
    <row r="195">
      <c r="A195" s="158"/>
      <c r="B195" s="210"/>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row>
    <row r="196">
      <c r="A196" s="158"/>
      <c r="B196" s="210"/>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row>
    <row r="197">
      <c r="A197" s="158"/>
      <c r="B197" s="210"/>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row>
    <row r="198">
      <c r="A198" s="158"/>
      <c r="B198" s="210"/>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row>
    <row r="199">
      <c r="A199" s="158"/>
      <c r="B199" s="210"/>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row>
    <row r="200">
      <c r="A200" s="158"/>
      <c r="B200" s="210"/>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row>
    <row r="201">
      <c r="A201" s="158"/>
      <c r="B201" s="210"/>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row>
    <row r="202">
      <c r="A202" s="158"/>
      <c r="B202" s="210"/>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row>
    <row r="203">
      <c r="A203" s="158"/>
      <c r="B203" s="210"/>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row>
    <row r="204">
      <c r="A204" s="158"/>
      <c r="B204" s="210"/>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row>
    <row r="205">
      <c r="A205" s="158"/>
      <c r="B205" s="210"/>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row>
    <row r="206">
      <c r="A206" s="158"/>
      <c r="B206" s="210"/>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row>
    <row r="207">
      <c r="A207" s="158"/>
      <c r="B207" s="210"/>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row>
    <row r="208">
      <c r="A208" s="158"/>
      <c r="B208" s="210"/>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row>
    <row r="209">
      <c r="A209" s="158"/>
      <c r="B209" s="210"/>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row>
    <row r="210">
      <c r="A210" s="158"/>
      <c r="B210" s="210"/>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row>
    <row r="211">
      <c r="A211" s="158"/>
      <c r="B211" s="210"/>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row>
    <row r="212">
      <c r="A212" s="158"/>
      <c r="B212" s="210"/>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row>
    <row r="213">
      <c r="A213" s="158"/>
      <c r="B213" s="210"/>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row>
    <row r="214">
      <c r="A214" s="158"/>
      <c r="B214" s="210"/>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row>
    <row r="215">
      <c r="A215" s="158"/>
      <c r="B215" s="210"/>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row>
    <row r="216">
      <c r="A216" s="158"/>
      <c r="B216" s="210"/>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row>
    <row r="217">
      <c r="A217" s="158"/>
      <c r="B217" s="210"/>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row>
    <row r="218">
      <c r="A218" s="158"/>
      <c r="B218" s="210"/>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row>
    <row r="219">
      <c r="A219" s="158"/>
      <c r="B219" s="210"/>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row>
    <row r="220">
      <c r="A220" s="158"/>
      <c r="B220" s="210"/>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row>
    <row r="221">
      <c r="A221" s="158"/>
      <c r="B221" s="210"/>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row>
    <row r="222">
      <c r="A222" s="158"/>
      <c r="B222" s="210"/>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row>
    <row r="223">
      <c r="A223" s="158"/>
      <c r="B223" s="210"/>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row>
    <row r="224">
      <c r="A224" s="158"/>
      <c r="B224" s="210"/>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row>
    <row r="225">
      <c r="A225" s="158"/>
      <c r="B225" s="210"/>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row>
    <row r="226">
      <c r="A226" s="158"/>
      <c r="B226" s="210"/>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row>
    <row r="227">
      <c r="A227" s="158"/>
      <c r="B227" s="210"/>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row>
    <row r="228">
      <c r="A228" s="158"/>
      <c r="B228" s="210"/>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row>
    <row r="229">
      <c r="A229" s="158"/>
      <c r="B229" s="210"/>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row>
    <row r="230">
      <c r="A230" s="158"/>
      <c r="B230" s="210"/>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row>
    <row r="231">
      <c r="A231" s="158"/>
      <c r="B231" s="210"/>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row>
    <row r="232">
      <c r="A232" s="158"/>
      <c r="B232" s="210"/>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row>
    <row r="233">
      <c r="A233" s="158"/>
      <c r="B233" s="210"/>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row>
    <row r="234">
      <c r="A234" s="158"/>
      <c r="B234" s="210"/>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row>
    <row r="235">
      <c r="A235" s="158"/>
      <c r="B235" s="210"/>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row>
    <row r="236">
      <c r="A236" s="158"/>
      <c r="B236" s="210"/>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row>
    <row r="237">
      <c r="A237" s="158"/>
      <c r="B237" s="210"/>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row>
    <row r="238">
      <c r="A238" s="158"/>
      <c r="B238" s="210"/>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row>
    <row r="239">
      <c r="A239" s="158"/>
      <c r="B239" s="210"/>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row>
    <row r="240">
      <c r="A240" s="158"/>
      <c r="B240" s="210"/>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row>
    <row r="241">
      <c r="A241" s="158"/>
      <c r="B241" s="210"/>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row>
    <row r="242">
      <c r="A242" s="158"/>
      <c r="B242" s="210"/>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row>
    <row r="243">
      <c r="A243" s="158"/>
      <c r="B243" s="210"/>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row>
    <row r="244">
      <c r="A244" s="158"/>
      <c r="B244" s="210"/>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row>
    <row r="245">
      <c r="A245" s="158"/>
      <c r="B245" s="210"/>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row>
    <row r="246">
      <c r="A246" s="158"/>
      <c r="B246" s="210"/>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row>
    <row r="247">
      <c r="A247" s="158"/>
      <c r="B247" s="210"/>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row>
    <row r="248">
      <c r="A248" s="158"/>
      <c r="B248" s="210"/>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row>
    <row r="249">
      <c r="A249" s="158"/>
      <c r="B249" s="210"/>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row>
    <row r="250">
      <c r="A250" s="158"/>
      <c r="B250" s="210"/>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row>
    <row r="251">
      <c r="A251" s="158"/>
      <c r="B251" s="210"/>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row>
    <row r="252">
      <c r="A252" s="158"/>
      <c r="B252" s="210"/>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row>
    <row r="253">
      <c r="A253" s="158"/>
      <c r="B253" s="210"/>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row>
    <row r="254">
      <c r="A254" s="158"/>
      <c r="B254" s="210"/>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row>
    <row r="255">
      <c r="A255" s="158"/>
      <c r="B255" s="210"/>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row>
    <row r="256">
      <c r="A256" s="158"/>
      <c r="B256" s="210"/>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row>
    <row r="257">
      <c r="A257" s="158"/>
      <c r="B257" s="210"/>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row>
    <row r="258">
      <c r="A258" s="158"/>
      <c r="B258" s="210"/>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row>
    <row r="259">
      <c r="A259" s="158"/>
      <c r="B259" s="210"/>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row>
    <row r="260">
      <c r="A260" s="158"/>
      <c r="B260" s="210"/>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row>
    <row r="261">
      <c r="A261" s="158"/>
      <c r="B261" s="210"/>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row>
    <row r="262">
      <c r="A262" s="158"/>
      <c r="B262" s="210"/>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c r="BQ262" s="158"/>
      <c r="BR262" s="158"/>
    </row>
    <row r="263">
      <c r="A263" s="158"/>
      <c r="B263" s="210"/>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row>
    <row r="264">
      <c r="A264" s="158"/>
      <c r="B264" s="210"/>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row>
    <row r="265">
      <c r="A265" s="158"/>
      <c r="B265" s="210"/>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row>
    <row r="266">
      <c r="A266" s="158"/>
      <c r="B266" s="210"/>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row>
    <row r="267">
      <c r="A267" s="158"/>
      <c r="B267" s="210"/>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c r="BQ267" s="158"/>
      <c r="BR267" s="158"/>
    </row>
    <row r="268">
      <c r="A268" s="158"/>
      <c r="B268" s="210"/>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row>
    <row r="269">
      <c r="A269" s="158"/>
      <c r="B269" s="210"/>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row>
    <row r="270">
      <c r="A270" s="158"/>
      <c r="B270" s="210"/>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row>
    <row r="271">
      <c r="A271" s="158"/>
      <c r="B271" s="210"/>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row>
    <row r="272">
      <c r="A272" s="158"/>
      <c r="B272" s="210"/>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row>
    <row r="273">
      <c r="A273" s="158"/>
      <c r="B273" s="210"/>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8"/>
      <c r="BR273" s="158"/>
    </row>
    <row r="274">
      <c r="A274" s="158"/>
      <c r="B274" s="210"/>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row>
    <row r="275">
      <c r="A275" s="158"/>
      <c r="B275" s="210"/>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row>
    <row r="276">
      <c r="A276" s="158"/>
      <c r="B276" s="210"/>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row>
    <row r="277">
      <c r="A277" s="158"/>
      <c r="B277" s="210"/>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row>
    <row r="278">
      <c r="A278" s="158"/>
      <c r="B278" s="210"/>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row>
    <row r="279">
      <c r="A279" s="158"/>
      <c r="B279" s="210"/>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AY279" s="158"/>
      <c r="AZ279" s="158"/>
      <c r="BA279" s="158"/>
      <c r="BB279" s="158"/>
      <c r="BC279" s="158"/>
      <c r="BD279" s="158"/>
      <c r="BE279" s="158"/>
      <c r="BF279" s="158"/>
      <c r="BG279" s="158"/>
      <c r="BH279" s="158"/>
      <c r="BI279" s="158"/>
      <c r="BJ279" s="158"/>
      <c r="BK279" s="158"/>
      <c r="BL279" s="158"/>
      <c r="BM279" s="158"/>
      <c r="BN279" s="158"/>
      <c r="BO279" s="158"/>
      <c r="BP279" s="158"/>
      <c r="BQ279" s="158"/>
      <c r="BR279" s="158"/>
    </row>
    <row r="280">
      <c r="A280" s="158"/>
      <c r="B280" s="210"/>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AY280" s="158"/>
      <c r="AZ280" s="158"/>
      <c r="BA280" s="158"/>
      <c r="BB280" s="158"/>
      <c r="BC280" s="158"/>
      <c r="BD280" s="158"/>
      <c r="BE280" s="158"/>
      <c r="BF280" s="158"/>
      <c r="BG280" s="158"/>
      <c r="BH280" s="158"/>
      <c r="BI280" s="158"/>
      <c r="BJ280" s="158"/>
      <c r="BK280" s="158"/>
      <c r="BL280" s="158"/>
      <c r="BM280" s="158"/>
      <c r="BN280" s="158"/>
      <c r="BO280" s="158"/>
      <c r="BP280" s="158"/>
      <c r="BQ280" s="158"/>
      <c r="BR280" s="158"/>
    </row>
    <row r="281">
      <c r="A281" s="158"/>
      <c r="B281" s="210"/>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row>
    <row r="282">
      <c r="A282" s="158"/>
      <c r="B282" s="210"/>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row>
    <row r="283">
      <c r="A283" s="158"/>
      <c r="B283" s="210"/>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row>
    <row r="284">
      <c r="A284" s="158"/>
      <c r="B284" s="210"/>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row>
    <row r="285">
      <c r="A285" s="158"/>
      <c r="B285" s="210"/>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c r="BF285" s="158"/>
      <c r="BG285" s="158"/>
      <c r="BH285" s="158"/>
      <c r="BI285" s="158"/>
      <c r="BJ285" s="158"/>
      <c r="BK285" s="158"/>
      <c r="BL285" s="158"/>
      <c r="BM285" s="158"/>
      <c r="BN285" s="158"/>
      <c r="BO285" s="158"/>
      <c r="BP285" s="158"/>
      <c r="BQ285" s="158"/>
      <c r="BR285" s="158"/>
    </row>
    <row r="286">
      <c r="A286" s="158"/>
      <c r="B286" s="210"/>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AY286" s="158"/>
      <c r="AZ286" s="158"/>
      <c r="BA286" s="158"/>
      <c r="BB286" s="158"/>
      <c r="BC286" s="158"/>
      <c r="BD286" s="158"/>
      <c r="BE286" s="158"/>
      <c r="BF286" s="158"/>
      <c r="BG286" s="158"/>
      <c r="BH286" s="158"/>
      <c r="BI286" s="158"/>
      <c r="BJ286" s="158"/>
      <c r="BK286" s="158"/>
      <c r="BL286" s="158"/>
      <c r="BM286" s="158"/>
      <c r="BN286" s="158"/>
      <c r="BO286" s="158"/>
      <c r="BP286" s="158"/>
      <c r="BQ286" s="158"/>
      <c r="BR286" s="158"/>
    </row>
    <row r="287">
      <c r="A287" s="158"/>
      <c r="B287" s="210"/>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row>
    <row r="288">
      <c r="A288" s="158"/>
      <c r="B288" s="210"/>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row>
    <row r="289">
      <c r="A289" s="158"/>
      <c r="B289" s="210"/>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row>
    <row r="290">
      <c r="A290" s="158"/>
      <c r="B290" s="210"/>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row>
    <row r="291">
      <c r="A291" s="158"/>
      <c r="B291" s="210"/>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N291" s="158"/>
      <c r="BO291" s="158"/>
      <c r="BP291" s="158"/>
      <c r="BQ291" s="158"/>
      <c r="BR291" s="158"/>
    </row>
    <row r="292">
      <c r="A292" s="158"/>
      <c r="B292" s="210"/>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row>
    <row r="293">
      <c r="A293" s="158"/>
      <c r="B293" s="210"/>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row>
    <row r="294">
      <c r="A294" s="158"/>
      <c r="B294" s="210"/>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row>
    <row r="295">
      <c r="A295" s="158"/>
      <c r="B295" s="210"/>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row>
    <row r="296">
      <c r="A296" s="158"/>
      <c r="B296" s="210"/>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row>
    <row r="297">
      <c r="A297" s="158"/>
      <c r="B297" s="210"/>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AY297" s="158"/>
      <c r="AZ297" s="158"/>
      <c r="BA297" s="158"/>
      <c r="BB297" s="158"/>
      <c r="BC297" s="158"/>
      <c r="BD297" s="158"/>
      <c r="BE297" s="158"/>
      <c r="BF297" s="158"/>
      <c r="BG297" s="158"/>
      <c r="BH297" s="158"/>
      <c r="BI297" s="158"/>
      <c r="BJ297" s="158"/>
      <c r="BK297" s="158"/>
      <c r="BL297" s="158"/>
      <c r="BM297" s="158"/>
      <c r="BN297" s="158"/>
      <c r="BO297" s="158"/>
      <c r="BP297" s="158"/>
      <c r="BQ297" s="158"/>
      <c r="BR297" s="158"/>
    </row>
    <row r="298">
      <c r="A298" s="158"/>
      <c r="B298" s="210"/>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AY298" s="158"/>
      <c r="AZ298" s="158"/>
      <c r="BA298" s="158"/>
      <c r="BB298" s="158"/>
      <c r="BC298" s="158"/>
      <c r="BD298" s="158"/>
      <c r="BE298" s="158"/>
      <c r="BF298" s="158"/>
      <c r="BG298" s="158"/>
      <c r="BH298" s="158"/>
      <c r="BI298" s="158"/>
      <c r="BJ298" s="158"/>
      <c r="BK298" s="158"/>
      <c r="BL298" s="158"/>
      <c r="BM298" s="158"/>
      <c r="BN298" s="158"/>
      <c r="BO298" s="158"/>
      <c r="BP298" s="158"/>
      <c r="BQ298" s="158"/>
      <c r="BR298" s="158"/>
    </row>
    <row r="299">
      <c r="A299" s="158"/>
      <c r="B299" s="210"/>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row>
    <row r="300">
      <c r="A300" s="158"/>
      <c r="B300" s="210"/>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row>
    <row r="301">
      <c r="A301" s="158"/>
      <c r="B301" s="210"/>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row>
    <row r="302">
      <c r="A302" s="158"/>
      <c r="B302" s="210"/>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row>
    <row r="303">
      <c r="A303" s="158"/>
      <c r="B303" s="210"/>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Y303" s="158"/>
      <c r="AZ303" s="158"/>
      <c r="BA303" s="158"/>
      <c r="BB303" s="158"/>
      <c r="BC303" s="158"/>
      <c r="BD303" s="158"/>
      <c r="BE303" s="158"/>
      <c r="BF303" s="158"/>
      <c r="BG303" s="158"/>
      <c r="BH303" s="158"/>
      <c r="BI303" s="158"/>
      <c r="BJ303" s="158"/>
      <c r="BK303" s="158"/>
      <c r="BL303" s="158"/>
      <c r="BM303" s="158"/>
      <c r="BN303" s="158"/>
      <c r="BO303" s="158"/>
      <c r="BP303" s="158"/>
      <c r="BQ303" s="158"/>
      <c r="BR303" s="158"/>
    </row>
    <row r="304">
      <c r="A304" s="158"/>
      <c r="B304" s="210"/>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Y304" s="158"/>
      <c r="AZ304" s="158"/>
      <c r="BA304" s="158"/>
      <c r="BB304" s="158"/>
      <c r="BC304" s="158"/>
      <c r="BD304" s="158"/>
      <c r="BE304" s="158"/>
      <c r="BF304" s="158"/>
      <c r="BG304" s="158"/>
      <c r="BH304" s="158"/>
      <c r="BI304" s="158"/>
      <c r="BJ304" s="158"/>
      <c r="BK304" s="158"/>
      <c r="BL304" s="158"/>
      <c r="BM304" s="158"/>
      <c r="BN304" s="158"/>
      <c r="BO304" s="158"/>
      <c r="BP304" s="158"/>
      <c r="BQ304" s="158"/>
      <c r="BR304" s="158"/>
    </row>
    <row r="305">
      <c r="A305" s="158"/>
      <c r="B305" s="210"/>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row>
    <row r="306">
      <c r="A306" s="158"/>
      <c r="B306" s="210"/>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row>
    <row r="307">
      <c r="A307" s="158"/>
      <c r="B307" s="210"/>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row>
    <row r="308">
      <c r="A308" s="158"/>
      <c r="B308" s="210"/>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row>
    <row r="309">
      <c r="A309" s="158"/>
      <c r="B309" s="210"/>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Y309" s="158"/>
      <c r="AZ309" s="158"/>
      <c r="BA309" s="158"/>
      <c r="BB309" s="158"/>
      <c r="BC309" s="158"/>
      <c r="BD309" s="158"/>
      <c r="BE309" s="158"/>
      <c r="BF309" s="158"/>
      <c r="BG309" s="158"/>
      <c r="BH309" s="158"/>
      <c r="BI309" s="158"/>
      <c r="BJ309" s="158"/>
      <c r="BK309" s="158"/>
      <c r="BL309" s="158"/>
      <c r="BM309" s="158"/>
      <c r="BN309" s="158"/>
      <c r="BO309" s="158"/>
      <c r="BP309" s="158"/>
      <c r="BQ309" s="158"/>
      <c r="BR309" s="158"/>
    </row>
    <row r="310">
      <c r="A310" s="158"/>
      <c r="B310" s="210"/>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Y310" s="158"/>
      <c r="AZ310" s="158"/>
      <c r="BA310" s="158"/>
      <c r="BB310" s="158"/>
      <c r="BC310" s="158"/>
      <c r="BD310" s="158"/>
      <c r="BE310" s="158"/>
      <c r="BF310" s="158"/>
      <c r="BG310" s="158"/>
      <c r="BH310" s="158"/>
      <c r="BI310" s="158"/>
      <c r="BJ310" s="158"/>
      <c r="BK310" s="158"/>
      <c r="BL310" s="158"/>
      <c r="BM310" s="158"/>
      <c r="BN310" s="158"/>
      <c r="BO310" s="158"/>
      <c r="BP310" s="158"/>
      <c r="BQ310" s="158"/>
      <c r="BR310" s="158"/>
    </row>
    <row r="311">
      <c r="A311" s="158"/>
      <c r="B311" s="210"/>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row>
    <row r="312">
      <c r="A312" s="158"/>
      <c r="B312" s="210"/>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row>
    <row r="313">
      <c r="A313" s="158"/>
      <c r="B313" s="210"/>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row>
    <row r="314">
      <c r="A314" s="158"/>
      <c r="B314" s="210"/>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row>
    <row r="315">
      <c r="A315" s="158"/>
      <c r="B315" s="210"/>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Y315" s="158"/>
      <c r="AZ315" s="158"/>
      <c r="BA315" s="158"/>
      <c r="BB315" s="158"/>
      <c r="BC315" s="158"/>
      <c r="BD315" s="158"/>
      <c r="BE315" s="158"/>
      <c r="BF315" s="158"/>
      <c r="BG315" s="158"/>
      <c r="BH315" s="158"/>
      <c r="BI315" s="158"/>
      <c r="BJ315" s="158"/>
      <c r="BK315" s="158"/>
      <c r="BL315" s="158"/>
      <c r="BM315" s="158"/>
      <c r="BN315" s="158"/>
      <c r="BO315" s="158"/>
      <c r="BP315" s="158"/>
      <c r="BQ315" s="158"/>
      <c r="BR315" s="158"/>
    </row>
    <row r="316">
      <c r="A316" s="158"/>
      <c r="B316" s="210"/>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Y316" s="158"/>
      <c r="AZ316" s="158"/>
      <c r="BA316" s="158"/>
      <c r="BB316" s="158"/>
      <c r="BC316" s="158"/>
      <c r="BD316" s="158"/>
      <c r="BE316" s="158"/>
      <c r="BF316" s="158"/>
      <c r="BG316" s="158"/>
      <c r="BH316" s="158"/>
      <c r="BI316" s="158"/>
      <c r="BJ316" s="158"/>
      <c r="BK316" s="158"/>
      <c r="BL316" s="158"/>
      <c r="BM316" s="158"/>
      <c r="BN316" s="158"/>
      <c r="BO316" s="158"/>
      <c r="BP316" s="158"/>
      <c r="BQ316" s="158"/>
      <c r="BR316" s="158"/>
    </row>
    <row r="317">
      <c r="A317" s="158"/>
      <c r="B317" s="210"/>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row>
    <row r="318">
      <c r="A318" s="158"/>
      <c r="B318" s="210"/>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row>
    <row r="319">
      <c r="A319" s="158"/>
      <c r="B319" s="210"/>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row>
    <row r="320">
      <c r="A320" s="158"/>
      <c r="B320" s="210"/>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row>
    <row r="321">
      <c r="A321" s="158"/>
      <c r="B321" s="210"/>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Y321" s="158"/>
      <c r="AZ321" s="158"/>
      <c r="BA321" s="158"/>
      <c r="BB321" s="158"/>
      <c r="BC321" s="158"/>
      <c r="BD321" s="158"/>
      <c r="BE321" s="158"/>
      <c r="BF321" s="158"/>
      <c r="BG321" s="158"/>
      <c r="BH321" s="158"/>
      <c r="BI321" s="158"/>
      <c r="BJ321" s="158"/>
      <c r="BK321" s="158"/>
      <c r="BL321" s="158"/>
      <c r="BM321" s="158"/>
      <c r="BN321" s="158"/>
      <c r="BO321" s="158"/>
      <c r="BP321" s="158"/>
      <c r="BQ321" s="158"/>
      <c r="BR321" s="158"/>
    </row>
    <row r="322">
      <c r="A322" s="158"/>
      <c r="B322" s="210"/>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row>
    <row r="323">
      <c r="A323" s="158"/>
      <c r="B323" s="210"/>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row>
    <row r="324">
      <c r="A324" s="158"/>
      <c r="B324" s="210"/>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row>
    <row r="325">
      <c r="A325" s="158"/>
      <c r="B325" s="210"/>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row>
    <row r="326">
      <c r="A326" s="158"/>
      <c r="B326" s="210"/>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row>
    <row r="327">
      <c r="A327" s="158"/>
      <c r="B327" s="210"/>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Y327" s="158"/>
      <c r="AZ327" s="158"/>
      <c r="BA327" s="158"/>
      <c r="BB327" s="158"/>
      <c r="BC327" s="158"/>
      <c r="BD327" s="158"/>
      <c r="BE327" s="158"/>
      <c r="BF327" s="158"/>
      <c r="BG327" s="158"/>
      <c r="BH327" s="158"/>
      <c r="BI327" s="158"/>
      <c r="BJ327" s="158"/>
      <c r="BK327" s="158"/>
      <c r="BL327" s="158"/>
      <c r="BM327" s="158"/>
      <c r="BN327" s="158"/>
      <c r="BO327" s="158"/>
      <c r="BP327" s="158"/>
      <c r="BQ327" s="158"/>
      <c r="BR327" s="158"/>
    </row>
    <row r="328">
      <c r="A328" s="158"/>
      <c r="B328" s="210"/>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Y328" s="158"/>
      <c r="AZ328" s="158"/>
      <c r="BA328" s="158"/>
      <c r="BB328" s="158"/>
      <c r="BC328" s="158"/>
      <c r="BD328" s="158"/>
      <c r="BE328" s="158"/>
      <c r="BF328" s="158"/>
      <c r="BG328" s="158"/>
      <c r="BH328" s="158"/>
      <c r="BI328" s="158"/>
      <c r="BJ328" s="158"/>
      <c r="BK328" s="158"/>
      <c r="BL328" s="158"/>
      <c r="BM328" s="158"/>
      <c r="BN328" s="158"/>
      <c r="BO328" s="158"/>
      <c r="BP328" s="158"/>
      <c r="BQ328" s="158"/>
      <c r="BR328" s="158"/>
    </row>
    <row r="329">
      <c r="A329" s="158"/>
      <c r="B329" s="210"/>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row>
    <row r="330">
      <c r="A330" s="158"/>
      <c r="B330" s="210"/>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row>
    <row r="331">
      <c r="A331" s="158"/>
      <c r="B331" s="210"/>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row>
    <row r="332">
      <c r="A332" s="158"/>
      <c r="B332" s="210"/>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row>
    <row r="333">
      <c r="A333" s="158"/>
      <c r="B333" s="210"/>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Y333" s="158"/>
      <c r="AZ333" s="158"/>
      <c r="BA333" s="158"/>
      <c r="BB333" s="158"/>
      <c r="BC333" s="158"/>
      <c r="BD333" s="158"/>
      <c r="BE333" s="158"/>
      <c r="BF333" s="158"/>
      <c r="BG333" s="158"/>
      <c r="BH333" s="158"/>
      <c r="BI333" s="158"/>
      <c r="BJ333" s="158"/>
      <c r="BK333" s="158"/>
      <c r="BL333" s="158"/>
      <c r="BM333" s="158"/>
      <c r="BN333" s="158"/>
      <c r="BO333" s="158"/>
      <c r="BP333" s="158"/>
      <c r="BQ333" s="158"/>
      <c r="BR333" s="158"/>
    </row>
    <row r="334">
      <c r="A334" s="158"/>
      <c r="B334" s="210"/>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Y334" s="158"/>
      <c r="AZ334" s="158"/>
      <c r="BA334" s="158"/>
      <c r="BB334" s="158"/>
      <c r="BC334" s="158"/>
      <c r="BD334" s="158"/>
      <c r="BE334" s="158"/>
      <c r="BF334" s="158"/>
      <c r="BG334" s="158"/>
      <c r="BH334" s="158"/>
      <c r="BI334" s="158"/>
      <c r="BJ334" s="158"/>
      <c r="BK334" s="158"/>
      <c r="BL334" s="158"/>
      <c r="BM334" s="158"/>
      <c r="BN334" s="158"/>
      <c r="BO334" s="158"/>
      <c r="BP334" s="158"/>
      <c r="BQ334" s="158"/>
      <c r="BR334" s="158"/>
    </row>
    <row r="335">
      <c r="A335" s="158"/>
      <c r="B335" s="210"/>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row>
    <row r="336">
      <c r="A336" s="158"/>
      <c r="B336" s="210"/>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row>
    <row r="337">
      <c r="A337" s="158"/>
      <c r="B337" s="210"/>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row>
    <row r="338">
      <c r="A338" s="158"/>
      <c r="B338" s="210"/>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row>
    <row r="339">
      <c r="A339" s="158"/>
      <c r="B339" s="210"/>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row>
    <row r="340">
      <c r="A340" s="158"/>
      <c r="B340" s="210"/>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row>
    <row r="341">
      <c r="A341" s="158"/>
      <c r="B341" s="210"/>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row>
    <row r="342">
      <c r="A342" s="158"/>
      <c r="B342" s="210"/>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row>
    <row r="343">
      <c r="A343" s="158"/>
      <c r="B343" s="210"/>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row>
    <row r="344">
      <c r="A344" s="158"/>
      <c r="B344" s="210"/>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row>
    <row r="345">
      <c r="A345" s="158"/>
      <c r="B345" s="210"/>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AY345" s="158"/>
      <c r="AZ345" s="158"/>
      <c r="BA345" s="158"/>
      <c r="BB345" s="158"/>
      <c r="BC345" s="158"/>
      <c r="BD345" s="158"/>
      <c r="BE345" s="158"/>
      <c r="BF345" s="158"/>
      <c r="BG345" s="158"/>
      <c r="BH345" s="158"/>
      <c r="BI345" s="158"/>
      <c r="BJ345" s="158"/>
      <c r="BK345" s="158"/>
      <c r="BL345" s="158"/>
      <c r="BM345" s="158"/>
      <c r="BN345" s="158"/>
      <c r="BO345" s="158"/>
      <c r="BP345" s="158"/>
      <c r="BQ345" s="158"/>
      <c r="BR345" s="158"/>
    </row>
    <row r="346">
      <c r="A346" s="158"/>
      <c r="B346" s="210"/>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AY346" s="158"/>
      <c r="AZ346" s="158"/>
      <c r="BA346" s="158"/>
      <c r="BB346" s="158"/>
      <c r="BC346" s="158"/>
      <c r="BD346" s="158"/>
      <c r="BE346" s="158"/>
      <c r="BF346" s="158"/>
      <c r="BG346" s="158"/>
      <c r="BH346" s="158"/>
      <c r="BI346" s="158"/>
      <c r="BJ346" s="158"/>
      <c r="BK346" s="158"/>
      <c r="BL346" s="158"/>
      <c r="BM346" s="158"/>
      <c r="BN346" s="158"/>
      <c r="BO346" s="158"/>
      <c r="BP346" s="158"/>
      <c r="BQ346" s="158"/>
      <c r="BR346" s="158"/>
    </row>
    <row r="347">
      <c r="A347" s="158"/>
      <c r="B347" s="210"/>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row>
    <row r="348">
      <c r="A348" s="158"/>
      <c r="B348" s="210"/>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row>
    <row r="349">
      <c r="A349" s="158"/>
      <c r="B349" s="210"/>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row>
    <row r="350">
      <c r="A350" s="158"/>
      <c r="B350" s="210"/>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row>
    <row r="351">
      <c r="A351" s="158"/>
      <c r="B351" s="210"/>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row>
    <row r="352">
      <c r="A352" s="158"/>
      <c r="B352" s="210"/>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AY352" s="158"/>
      <c r="AZ352" s="158"/>
      <c r="BA352" s="158"/>
      <c r="BB352" s="158"/>
      <c r="BC352" s="158"/>
      <c r="BD352" s="158"/>
      <c r="BE352" s="158"/>
      <c r="BF352" s="158"/>
      <c r="BG352" s="158"/>
      <c r="BH352" s="158"/>
      <c r="BI352" s="158"/>
      <c r="BJ352" s="158"/>
      <c r="BK352" s="158"/>
      <c r="BL352" s="158"/>
      <c r="BM352" s="158"/>
      <c r="BN352" s="158"/>
      <c r="BO352" s="158"/>
      <c r="BP352" s="158"/>
      <c r="BQ352" s="158"/>
      <c r="BR352" s="158"/>
    </row>
    <row r="353">
      <c r="A353" s="158"/>
      <c r="B353" s="210"/>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row>
    <row r="354">
      <c r="A354" s="158"/>
      <c r="B354" s="210"/>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row>
    <row r="355">
      <c r="A355" s="158"/>
      <c r="B355" s="210"/>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row>
    <row r="356">
      <c r="A356" s="158"/>
      <c r="B356" s="210"/>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row>
    <row r="357">
      <c r="A357" s="158"/>
      <c r="B357" s="210"/>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AY357" s="158"/>
      <c r="AZ357" s="158"/>
      <c r="BA357" s="158"/>
      <c r="BB357" s="158"/>
      <c r="BC357" s="158"/>
      <c r="BD357" s="158"/>
      <c r="BE357" s="158"/>
      <c r="BF357" s="158"/>
      <c r="BG357" s="158"/>
      <c r="BH357" s="158"/>
      <c r="BI357" s="158"/>
      <c r="BJ357" s="158"/>
      <c r="BK357" s="158"/>
      <c r="BL357" s="158"/>
      <c r="BM357" s="158"/>
      <c r="BN357" s="158"/>
      <c r="BO357" s="158"/>
      <c r="BP357" s="158"/>
      <c r="BQ357" s="158"/>
      <c r="BR357" s="158"/>
    </row>
    <row r="358">
      <c r="A358" s="158"/>
      <c r="B358" s="210"/>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AY358" s="158"/>
      <c r="AZ358" s="158"/>
      <c r="BA358" s="158"/>
      <c r="BB358" s="158"/>
      <c r="BC358" s="158"/>
      <c r="BD358" s="158"/>
      <c r="BE358" s="158"/>
      <c r="BF358" s="158"/>
      <c r="BG358" s="158"/>
      <c r="BH358" s="158"/>
      <c r="BI358" s="158"/>
      <c r="BJ358" s="158"/>
      <c r="BK358" s="158"/>
      <c r="BL358" s="158"/>
      <c r="BM358" s="158"/>
      <c r="BN358" s="158"/>
      <c r="BO358" s="158"/>
      <c r="BP358" s="158"/>
      <c r="BQ358" s="158"/>
      <c r="BR358" s="158"/>
    </row>
    <row r="359">
      <c r="A359" s="158"/>
      <c r="B359" s="210"/>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row>
    <row r="360">
      <c r="A360" s="158"/>
      <c r="B360" s="210"/>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row>
    <row r="361">
      <c r="A361" s="158"/>
      <c r="B361" s="210"/>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row>
    <row r="362">
      <c r="A362" s="158"/>
      <c r="B362" s="210"/>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row>
    <row r="363">
      <c r="A363" s="158"/>
      <c r="B363" s="210"/>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row>
    <row r="364">
      <c r="A364" s="158"/>
      <c r="B364" s="210"/>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Y364" s="158"/>
      <c r="AZ364" s="158"/>
      <c r="BA364" s="158"/>
      <c r="BB364" s="158"/>
      <c r="BC364" s="158"/>
      <c r="BD364" s="158"/>
      <c r="BE364" s="158"/>
      <c r="BF364" s="158"/>
      <c r="BG364" s="158"/>
      <c r="BH364" s="158"/>
      <c r="BI364" s="158"/>
      <c r="BJ364" s="158"/>
      <c r="BK364" s="158"/>
      <c r="BL364" s="158"/>
      <c r="BM364" s="158"/>
      <c r="BN364" s="158"/>
      <c r="BO364" s="158"/>
      <c r="BP364" s="158"/>
      <c r="BQ364" s="158"/>
      <c r="BR364" s="158"/>
    </row>
    <row r="365">
      <c r="A365" s="158"/>
      <c r="B365" s="210"/>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row>
    <row r="366">
      <c r="A366" s="158"/>
      <c r="B366" s="210"/>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c r="AW366" s="15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row>
    <row r="367">
      <c r="A367" s="158"/>
      <c r="B367" s="210"/>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row>
    <row r="368">
      <c r="A368" s="158"/>
      <c r="B368" s="210"/>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c r="AW368" s="15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row>
    <row r="369">
      <c r="A369" s="158"/>
      <c r="B369" s="210"/>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row>
    <row r="370">
      <c r="A370" s="158"/>
      <c r="B370" s="210"/>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c r="AW370" s="158"/>
      <c r="AX370" s="158"/>
      <c r="AY370" s="158"/>
      <c r="AZ370" s="158"/>
      <c r="BA370" s="158"/>
      <c r="BB370" s="158"/>
      <c r="BC370" s="158"/>
      <c r="BD370" s="158"/>
      <c r="BE370" s="158"/>
      <c r="BF370" s="158"/>
      <c r="BG370" s="158"/>
      <c r="BH370" s="158"/>
      <c r="BI370" s="158"/>
      <c r="BJ370" s="158"/>
      <c r="BK370" s="158"/>
      <c r="BL370" s="158"/>
      <c r="BM370" s="158"/>
      <c r="BN370" s="158"/>
      <c r="BO370" s="158"/>
      <c r="BP370" s="158"/>
      <c r="BQ370" s="158"/>
      <c r="BR370" s="158"/>
    </row>
    <row r="371">
      <c r="A371" s="158"/>
      <c r="B371" s="210"/>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row>
    <row r="372">
      <c r="A372" s="158"/>
      <c r="B372" s="210"/>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row>
    <row r="373">
      <c r="A373" s="158"/>
      <c r="B373" s="210"/>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row>
    <row r="374">
      <c r="A374" s="158"/>
      <c r="B374" s="210"/>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c r="AW374" s="15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row>
    <row r="375">
      <c r="A375" s="158"/>
      <c r="B375" s="210"/>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c r="AW375" s="158"/>
      <c r="AX375" s="158"/>
      <c r="AY375" s="158"/>
      <c r="AZ375" s="158"/>
      <c r="BA375" s="158"/>
      <c r="BB375" s="158"/>
      <c r="BC375" s="158"/>
      <c r="BD375" s="158"/>
      <c r="BE375" s="158"/>
      <c r="BF375" s="158"/>
      <c r="BG375" s="158"/>
      <c r="BH375" s="158"/>
      <c r="BI375" s="158"/>
      <c r="BJ375" s="158"/>
      <c r="BK375" s="158"/>
      <c r="BL375" s="158"/>
      <c r="BM375" s="158"/>
      <c r="BN375" s="158"/>
      <c r="BO375" s="158"/>
      <c r="BP375" s="158"/>
      <c r="BQ375" s="158"/>
      <c r="BR375" s="158"/>
    </row>
    <row r="376">
      <c r="A376" s="158"/>
      <c r="B376" s="210"/>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c r="AW376" s="158"/>
      <c r="AX376" s="158"/>
      <c r="AY376" s="158"/>
      <c r="AZ376" s="158"/>
      <c r="BA376" s="158"/>
      <c r="BB376" s="158"/>
      <c r="BC376" s="158"/>
      <c r="BD376" s="158"/>
      <c r="BE376" s="158"/>
      <c r="BF376" s="158"/>
      <c r="BG376" s="158"/>
      <c r="BH376" s="158"/>
      <c r="BI376" s="158"/>
      <c r="BJ376" s="158"/>
      <c r="BK376" s="158"/>
      <c r="BL376" s="158"/>
      <c r="BM376" s="158"/>
      <c r="BN376" s="158"/>
      <c r="BO376" s="158"/>
      <c r="BP376" s="158"/>
      <c r="BQ376" s="158"/>
      <c r="BR376" s="158"/>
    </row>
    <row r="377">
      <c r="A377" s="158"/>
      <c r="B377" s="210"/>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row>
    <row r="378">
      <c r="A378" s="158"/>
      <c r="B378" s="210"/>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c r="AW378" s="15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row>
    <row r="379">
      <c r="A379" s="158"/>
      <c r="B379" s="210"/>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c r="AW379" s="15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row>
    <row r="380">
      <c r="A380" s="158"/>
      <c r="B380" s="210"/>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row>
    <row r="381">
      <c r="A381" s="158"/>
      <c r="B381" s="210"/>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row>
    <row r="382">
      <c r="A382" s="158"/>
      <c r="B382" s="210"/>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c r="AW382" s="158"/>
      <c r="AX382" s="158"/>
      <c r="AY382" s="158"/>
      <c r="AZ382" s="158"/>
      <c r="BA382" s="158"/>
      <c r="BB382" s="158"/>
      <c r="BC382" s="158"/>
      <c r="BD382" s="158"/>
      <c r="BE382" s="158"/>
      <c r="BF382" s="158"/>
      <c r="BG382" s="158"/>
      <c r="BH382" s="158"/>
      <c r="BI382" s="158"/>
      <c r="BJ382" s="158"/>
      <c r="BK382" s="158"/>
      <c r="BL382" s="158"/>
      <c r="BM382" s="158"/>
      <c r="BN382" s="158"/>
      <c r="BO382" s="158"/>
      <c r="BP382" s="158"/>
      <c r="BQ382" s="158"/>
      <c r="BR382" s="158"/>
    </row>
    <row r="383">
      <c r="A383" s="158"/>
      <c r="B383" s="210"/>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c r="AW383" s="15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row>
    <row r="384">
      <c r="A384" s="158"/>
      <c r="B384" s="210"/>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c r="AW384" s="15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row>
    <row r="385">
      <c r="A385" s="158"/>
      <c r="B385" s="210"/>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c r="AW385" s="15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row>
    <row r="386">
      <c r="A386" s="158"/>
      <c r="B386" s="210"/>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row>
    <row r="387">
      <c r="A387" s="158"/>
      <c r="B387" s="210"/>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row>
    <row r="388">
      <c r="A388" s="158"/>
      <c r="B388" s="210"/>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c r="BF388" s="158"/>
      <c r="BG388" s="158"/>
      <c r="BH388" s="158"/>
      <c r="BI388" s="158"/>
      <c r="BJ388" s="158"/>
      <c r="BK388" s="158"/>
      <c r="BL388" s="158"/>
      <c r="BM388" s="158"/>
      <c r="BN388" s="158"/>
      <c r="BO388" s="158"/>
      <c r="BP388" s="158"/>
      <c r="BQ388" s="158"/>
      <c r="BR388" s="158"/>
    </row>
    <row r="389">
      <c r="A389" s="158"/>
      <c r="B389" s="210"/>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c r="AW389" s="15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row>
    <row r="390">
      <c r="A390" s="158"/>
      <c r="B390" s="210"/>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row>
    <row r="391">
      <c r="A391" s="158"/>
      <c r="B391" s="210"/>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c r="AW391" s="15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row>
    <row r="392">
      <c r="A392" s="158"/>
      <c r="B392" s="210"/>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c r="AW392" s="15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row>
    <row r="393">
      <c r="A393" s="158"/>
      <c r="B393" s="210"/>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c r="AW393" s="158"/>
      <c r="AX393" s="158"/>
      <c r="AY393" s="158"/>
      <c r="AZ393" s="158"/>
      <c r="BA393" s="158"/>
      <c r="BB393" s="158"/>
      <c r="BC393" s="158"/>
      <c r="BD393" s="158"/>
      <c r="BE393" s="158"/>
      <c r="BF393" s="158"/>
      <c r="BG393" s="158"/>
      <c r="BH393" s="158"/>
      <c r="BI393" s="158"/>
      <c r="BJ393" s="158"/>
      <c r="BK393" s="158"/>
      <c r="BL393" s="158"/>
      <c r="BM393" s="158"/>
      <c r="BN393" s="158"/>
      <c r="BO393" s="158"/>
      <c r="BP393" s="158"/>
      <c r="BQ393" s="158"/>
      <c r="BR393" s="158"/>
    </row>
    <row r="394">
      <c r="A394" s="158"/>
      <c r="B394" s="210"/>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c r="BF394" s="158"/>
      <c r="BG394" s="158"/>
      <c r="BH394" s="158"/>
      <c r="BI394" s="158"/>
      <c r="BJ394" s="158"/>
      <c r="BK394" s="158"/>
      <c r="BL394" s="158"/>
      <c r="BM394" s="158"/>
      <c r="BN394" s="158"/>
      <c r="BO394" s="158"/>
      <c r="BP394" s="158"/>
      <c r="BQ394" s="158"/>
      <c r="BR394" s="158"/>
    </row>
    <row r="395">
      <c r="A395" s="158"/>
      <c r="B395" s="210"/>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c r="AW395" s="15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row>
    <row r="396">
      <c r="A396" s="158"/>
      <c r="B396" s="210"/>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c r="AW396" s="15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row>
    <row r="397">
      <c r="A397" s="158"/>
      <c r="B397" s="210"/>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c r="AW397" s="15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row>
    <row r="398">
      <c r="A398" s="158"/>
      <c r="B398" s="210"/>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row>
    <row r="399">
      <c r="A399" s="158"/>
      <c r="B399" s="210"/>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c r="AW399" s="158"/>
      <c r="AX399" s="158"/>
      <c r="AY399" s="158"/>
      <c r="AZ399" s="158"/>
      <c r="BA399" s="158"/>
      <c r="BB399" s="158"/>
      <c r="BC399" s="158"/>
      <c r="BD399" s="158"/>
      <c r="BE399" s="158"/>
      <c r="BF399" s="158"/>
      <c r="BG399" s="158"/>
      <c r="BH399" s="158"/>
      <c r="BI399" s="158"/>
      <c r="BJ399" s="158"/>
      <c r="BK399" s="158"/>
      <c r="BL399" s="158"/>
      <c r="BM399" s="158"/>
      <c r="BN399" s="158"/>
      <c r="BO399" s="158"/>
      <c r="BP399" s="158"/>
      <c r="BQ399" s="158"/>
      <c r="BR399" s="158"/>
    </row>
    <row r="400">
      <c r="A400" s="158"/>
      <c r="B400" s="210"/>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c r="BF400" s="158"/>
      <c r="BG400" s="158"/>
      <c r="BH400" s="158"/>
      <c r="BI400" s="158"/>
      <c r="BJ400" s="158"/>
      <c r="BK400" s="158"/>
      <c r="BL400" s="158"/>
      <c r="BM400" s="158"/>
      <c r="BN400" s="158"/>
      <c r="BO400" s="158"/>
      <c r="BP400" s="158"/>
      <c r="BQ400" s="158"/>
      <c r="BR400" s="158"/>
    </row>
    <row r="401">
      <c r="A401" s="158"/>
      <c r="B401" s="210"/>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c r="AW401" s="15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row>
    <row r="402">
      <c r="A402" s="158"/>
      <c r="B402" s="210"/>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row>
    <row r="403">
      <c r="A403" s="158"/>
      <c r="B403" s="210"/>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row>
    <row r="404">
      <c r="A404" s="158"/>
      <c r="B404" s="210"/>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row>
    <row r="405">
      <c r="A405" s="158"/>
      <c r="B405" s="210"/>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c r="BF405" s="158"/>
      <c r="BG405" s="158"/>
      <c r="BH405" s="158"/>
      <c r="BI405" s="158"/>
      <c r="BJ405" s="158"/>
      <c r="BK405" s="158"/>
      <c r="BL405" s="158"/>
      <c r="BM405" s="158"/>
      <c r="BN405" s="158"/>
      <c r="BO405" s="158"/>
      <c r="BP405" s="158"/>
      <c r="BQ405" s="158"/>
      <c r="BR405" s="158"/>
    </row>
    <row r="406">
      <c r="A406" s="158"/>
      <c r="B406" s="210"/>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c r="BF406" s="158"/>
      <c r="BG406" s="158"/>
      <c r="BH406" s="158"/>
      <c r="BI406" s="158"/>
      <c r="BJ406" s="158"/>
      <c r="BK406" s="158"/>
      <c r="BL406" s="158"/>
      <c r="BM406" s="158"/>
      <c r="BN406" s="158"/>
      <c r="BO406" s="158"/>
      <c r="BP406" s="158"/>
      <c r="BQ406" s="158"/>
      <c r="BR406" s="158"/>
    </row>
    <row r="407">
      <c r="A407" s="158"/>
      <c r="B407" s="210"/>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row>
    <row r="408">
      <c r="A408" s="158"/>
      <c r="B408" s="210"/>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row>
    <row r="409">
      <c r="A409" s="158"/>
      <c r="B409" s="210"/>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c r="AW409" s="15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row>
    <row r="410">
      <c r="A410" s="158"/>
      <c r="B410" s="210"/>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row>
    <row r="411">
      <c r="A411" s="158"/>
      <c r="B411" s="210"/>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c r="AW411" s="158"/>
      <c r="AX411" s="158"/>
      <c r="AY411" s="158"/>
      <c r="AZ411" s="158"/>
      <c r="BA411" s="158"/>
      <c r="BB411" s="158"/>
      <c r="BC411" s="158"/>
      <c r="BD411" s="158"/>
      <c r="BE411" s="158"/>
      <c r="BF411" s="158"/>
      <c r="BG411" s="158"/>
      <c r="BH411" s="158"/>
      <c r="BI411" s="158"/>
      <c r="BJ411" s="158"/>
      <c r="BK411" s="158"/>
      <c r="BL411" s="158"/>
      <c r="BM411" s="158"/>
      <c r="BN411" s="158"/>
      <c r="BO411" s="158"/>
      <c r="BP411" s="158"/>
      <c r="BQ411" s="158"/>
      <c r="BR411" s="158"/>
    </row>
    <row r="412">
      <c r="A412" s="158"/>
      <c r="B412" s="210"/>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c r="AW412" s="158"/>
      <c r="AX412" s="158"/>
      <c r="AY412" s="158"/>
      <c r="AZ412" s="158"/>
      <c r="BA412" s="158"/>
      <c r="BB412" s="158"/>
      <c r="BC412" s="158"/>
      <c r="BD412" s="158"/>
      <c r="BE412" s="158"/>
      <c r="BF412" s="158"/>
      <c r="BG412" s="158"/>
      <c r="BH412" s="158"/>
      <c r="BI412" s="158"/>
      <c r="BJ412" s="158"/>
      <c r="BK412" s="158"/>
      <c r="BL412" s="158"/>
      <c r="BM412" s="158"/>
      <c r="BN412" s="158"/>
      <c r="BO412" s="158"/>
      <c r="BP412" s="158"/>
      <c r="BQ412" s="158"/>
      <c r="BR412" s="158"/>
    </row>
    <row r="413">
      <c r="A413" s="158"/>
      <c r="B413" s="210"/>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c r="AW413" s="15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row>
    <row r="414">
      <c r="A414" s="158"/>
      <c r="B414" s="210"/>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c r="AW414" s="15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row>
    <row r="415">
      <c r="A415" s="158"/>
      <c r="B415" s="210"/>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c r="AW415" s="15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row>
    <row r="416">
      <c r="A416" s="158"/>
      <c r="B416" s="210"/>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c r="AW416" s="15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row>
    <row r="417">
      <c r="A417" s="158"/>
      <c r="B417" s="210"/>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c r="AW417" s="158"/>
      <c r="AX417" s="158"/>
      <c r="AY417" s="158"/>
      <c r="AZ417" s="158"/>
      <c r="BA417" s="158"/>
      <c r="BB417" s="158"/>
      <c r="BC417" s="158"/>
      <c r="BD417" s="158"/>
      <c r="BE417" s="158"/>
      <c r="BF417" s="158"/>
      <c r="BG417" s="158"/>
      <c r="BH417" s="158"/>
      <c r="BI417" s="158"/>
      <c r="BJ417" s="158"/>
      <c r="BK417" s="158"/>
      <c r="BL417" s="158"/>
      <c r="BM417" s="158"/>
      <c r="BN417" s="158"/>
      <c r="BO417" s="158"/>
      <c r="BP417" s="158"/>
      <c r="BQ417" s="158"/>
      <c r="BR417" s="158"/>
    </row>
    <row r="418">
      <c r="A418" s="158"/>
      <c r="B418" s="210"/>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c r="AW418" s="158"/>
      <c r="AX418" s="158"/>
      <c r="AY418" s="158"/>
      <c r="AZ418" s="158"/>
      <c r="BA418" s="158"/>
      <c r="BB418" s="158"/>
      <c r="BC418" s="158"/>
      <c r="BD418" s="158"/>
      <c r="BE418" s="158"/>
      <c r="BF418" s="158"/>
      <c r="BG418" s="158"/>
      <c r="BH418" s="158"/>
      <c r="BI418" s="158"/>
      <c r="BJ418" s="158"/>
      <c r="BK418" s="158"/>
      <c r="BL418" s="158"/>
      <c r="BM418" s="158"/>
      <c r="BN418" s="158"/>
      <c r="BO418" s="158"/>
      <c r="BP418" s="158"/>
      <c r="BQ418" s="158"/>
      <c r="BR418" s="158"/>
    </row>
    <row r="419">
      <c r="A419" s="158"/>
      <c r="B419" s="210"/>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c r="AW419" s="15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row>
    <row r="420">
      <c r="A420" s="158"/>
      <c r="B420" s="210"/>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c r="AW420" s="15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row>
    <row r="421">
      <c r="A421" s="158"/>
      <c r="B421" s="210"/>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c r="AW421" s="15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row>
    <row r="422">
      <c r="A422" s="158"/>
      <c r="B422" s="210"/>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c r="AW422" s="15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row>
    <row r="423">
      <c r="A423" s="158"/>
      <c r="B423" s="210"/>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c r="BF423" s="158"/>
      <c r="BG423" s="158"/>
      <c r="BH423" s="158"/>
      <c r="BI423" s="158"/>
      <c r="BJ423" s="158"/>
      <c r="BK423" s="158"/>
      <c r="BL423" s="158"/>
      <c r="BM423" s="158"/>
      <c r="BN423" s="158"/>
      <c r="BO423" s="158"/>
      <c r="BP423" s="158"/>
      <c r="BQ423" s="158"/>
      <c r="BR423" s="158"/>
    </row>
    <row r="424">
      <c r="A424" s="158"/>
      <c r="B424" s="210"/>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c r="AW424" s="158"/>
      <c r="AX424" s="158"/>
      <c r="AY424" s="158"/>
      <c r="AZ424" s="158"/>
      <c r="BA424" s="158"/>
      <c r="BB424" s="158"/>
      <c r="BC424" s="158"/>
      <c r="BD424" s="158"/>
      <c r="BE424" s="158"/>
      <c r="BF424" s="158"/>
      <c r="BG424" s="158"/>
      <c r="BH424" s="158"/>
      <c r="BI424" s="158"/>
      <c r="BJ424" s="158"/>
      <c r="BK424" s="158"/>
      <c r="BL424" s="158"/>
      <c r="BM424" s="158"/>
      <c r="BN424" s="158"/>
      <c r="BO424" s="158"/>
      <c r="BP424" s="158"/>
      <c r="BQ424" s="158"/>
      <c r="BR424" s="158"/>
    </row>
    <row r="425">
      <c r="A425" s="158"/>
      <c r="B425" s="210"/>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c r="AW425" s="15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row>
    <row r="426">
      <c r="A426" s="158"/>
      <c r="B426" s="210"/>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c r="AW426" s="15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row>
    <row r="427">
      <c r="A427" s="158"/>
      <c r="B427" s="210"/>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c r="AW427" s="15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row>
    <row r="428">
      <c r="A428" s="158"/>
      <c r="B428" s="210"/>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c r="AW428" s="15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row>
    <row r="429">
      <c r="A429" s="158"/>
      <c r="B429" s="210"/>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c r="AW429" s="158"/>
      <c r="AX429" s="158"/>
      <c r="AY429" s="158"/>
      <c r="AZ429" s="158"/>
      <c r="BA429" s="158"/>
      <c r="BB429" s="158"/>
      <c r="BC429" s="158"/>
      <c r="BD429" s="158"/>
      <c r="BE429" s="158"/>
      <c r="BF429" s="158"/>
      <c r="BG429" s="158"/>
      <c r="BH429" s="158"/>
      <c r="BI429" s="158"/>
      <c r="BJ429" s="158"/>
      <c r="BK429" s="158"/>
      <c r="BL429" s="158"/>
      <c r="BM429" s="158"/>
      <c r="BN429" s="158"/>
      <c r="BO429" s="158"/>
      <c r="BP429" s="158"/>
      <c r="BQ429" s="158"/>
      <c r="BR429" s="158"/>
    </row>
    <row r="430">
      <c r="A430" s="158"/>
      <c r="B430" s="210"/>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c r="AW430" s="158"/>
      <c r="AX430" s="158"/>
      <c r="AY430" s="158"/>
      <c r="AZ430" s="158"/>
      <c r="BA430" s="158"/>
      <c r="BB430" s="158"/>
      <c r="BC430" s="158"/>
      <c r="BD430" s="158"/>
      <c r="BE430" s="158"/>
      <c r="BF430" s="158"/>
      <c r="BG430" s="158"/>
      <c r="BH430" s="158"/>
      <c r="BI430" s="158"/>
      <c r="BJ430" s="158"/>
      <c r="BK430" s="158"/>
      <c r="BL430" s="158"/>
      <c r="BM430" s="158"/>
      <c r="BN430" s="158"/>
      <c r="BO430" s="158"/>
      <c r="BP430" s="158"/>
      <c r="BQ430" s="158"/>
      <c r="BR430" s="158"/>
    </row>
    <row r="431">
      <c r="A431" s="158"/>
      <c r="B431" s="210"/>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c r="AW431" s="15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row>
    <row r="432">
      <c r="A432" s="158"/>
      <c r="B432" s="210"/>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c r="AW432" s="15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row>
    <row r="433">
      <c r="A433" s="158"/>
      <c r="B433" s="210"/>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c r="AW433" s="15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row>
    <row r="434">
      <c r="A434" s="158"/>
      <c r="B434" s="210"/>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c r="AW434" s="15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row>
    <row r="435">
      <c r="A435" s="158"/>
      <c r="B435" s="210"/>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row>
    <row r="436">
      <c r="A436" s="158"/>
      <c r="B436" s="210"/>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c r="AW436" s="158"/>
      <c r="AX436" s="158"/>
      <c r="AY436" s="158"/>
      <c r="AZ436" s="158"/>
      <c r="BA436" s="158"/>
      <c r="BB436" s="158"/>
      <c r="BC436" s="158"/>
      <c r="BD436" s="158"/>
      <c r="BE436" s="158"/>
      <c r="BF436" s="158"/>
      <c r="BG436" s="158"/>
      <c r="BH436" s="158"/>
      <c r="BI436" s="158"/>
      <c r="BJ436" s="158"/>
      <c r="BK436" s="158"/>
      <c r="BL436" s="158"/>
      <c r="BM436" s="158"/>
      <c r="BN436" s="158"/>
      <c r="BO436" s="158"/>
      <c r="BP436" s="158"/>
      <c r="BQ436" s="158"/>
      <c r="BR436" s="158"/>
    </row>
    <row r="437">
      <c r="A437" s="158"/>
      <c r="B437" s="210"/>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c r="AW437" s="15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row>
    <row r="438">
      <c r="A438" s="158"/>
      <c r="B438" s="210"/>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c r="AW438" s="15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row>
    <row r="439">
      <c r="A439" s="158"/>
      <c r="B439" s="210"/>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c r="AW439" s="15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row>
    <row r="440">
      <c r="A440" s="158"/>
      <c r="B440" s="210"/>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c r="AW440" s="15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row>
    <row r="441">
      <c r="A441" s="158"/>
      <c r="B441" s="210"/>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c r="AW441" s="158"/>
      <c r="AX441" s="158"/>
      <c r="AY441" s="158"/>
      <c r="AZ441" s="158"/>
      <c r="BA441" s="158"/>
      <c r="BB441" s="158"/>
      <c r="BC441" s="158"/>
      <c r="BD441" s="158"/>
      <c r="BE441" s="158"/>
      <c r="BF441" s="158"/>
      <c r="BG441" s="158"/>
      <c r="BH441" s="158"/>
      <c r="BI441" s="158"/>
      <c r="BJ441" s="158"/>
      <c r="BK441" s="158"/>
      <c r="BL441" s="158"/>
      <c r="BM441" s="158"/>
      <c r="BN441" s="158"/>
      <c r="BO441" s="158"/>
      <c r="BP441" s="158"/>
      <c r="BQ441" s="158"/>
      <c r="BR441" s="158"/>
    </row>
    <row r="442">
      <c r="A442" s="158"/>
      <c r="B442" s="210"/>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c r="AW442" s="158"/>
      <c r="AX442" s="158"/>
      <c r="AY442" s="158"/>
      <c r="AZ442" s="158"/>
      <c r="BA442" s="158"/>
      <c r="BB442" s="158"/>
      <c r="BC442" s="158"/>
      <c r="BD442" s="158"/>
      <c r="BE442" s="158"/>
      <c r="BF442" s="158"/>
      <c r="BG442" s="158"/>
      <c r="BH442" s="158"/>
      <c r="BI442" s="158"/>
      <c r="BJ442" s="158"/>
      <c r="BK442" s="158"/>
      <c r="BL442" s="158"/>
      <c r="BM442" s="158"/>
      <c r="BN442" s="158"/>
      <c r="BO442" s="158"/>
      <c r="BP442" s="158"/>
      <c r="BQ442" s="158"/>
      <c r="BR442" s="158"/>
    </row>
    <row r="443">
      <c r="A443" s="158"/>
      <c r="B443" s="210"/>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c r="AW443" s="15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row>
    <row r="444">
      <c r="A444" s="158"/>
      <c r="B444" s="210"/>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c r="AW444" s="15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row>
    <row r="445">
      <c r="A445" s="158"/>
      <c r="B445" s="210"/>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c r="AW445" s="15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row>
    <row r="446">
      <c r="A446" s="158"/>
      <c r="B446" s="210"/>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5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row>
    <row r="447">
      <c r="A447" s="158"/>
      <c r="B447" s="210"/>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c r="AW447" s="158"/>
      <c r="AX447" s="158"/>
      <c r="AY447" s="158"/>
      <c r="AZ447" s="158"/>
      <c r="BA447" s="158"/>
      <c r="BB447" s="158"/>
      <c r="BC447" s="158"/>
      <c r="BD447" s="158"/>
      <c r="BE447" s="158"/>
      <c r="BF447" s="158"/>
      <c r="BG447" s="158"/>
      <c r="BH447" s="158"/>
      <c r="BI447" s="158"/>
      <c r="BJ447" s="158"/>
      <c r="BK447" s="158"/>
      <c r="BL447" s="158"/>
      <c r="BM447" s="158"/>
      <c r="BN447" s="158"/>
      <c r="BO447" s="158"/>
      <c r="BP447" s="158"/>
      <c r="BQ447" s="158"/>
      <c r="BR447" s="158"/>
    </row>
    <row r="448">
      <c r="A448" s="158"/>
      <c r="B448" s="210"/>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c r="AW448" s="158"/>
      <c r="AX448" s="158"/>
      <c r="AY448" s="158"/>
      <c r="AZ448" s="158"/>
      <c r="BA448" s="158"/>
      <c r="BB448" s="158"/>
      <c r="BC448" s="158"/>
      <c r="BD448" s="158"/>
      <c r="BE448" s="158"/>
      <c r="BF448" s="158"/>
      <c r="BG448" s="158"/>
      <c r="BH448" s="158"/>
      <c r="BI448" s="158"/>
      <c r="BJ448" s="158"/>
      <c r="BK448" s="158"/>
      <c r="BL448" s="158"/>
      <c r="BM448" s="158"/>
      <c r="BN448" s="158"/>
      <c r="BO448" s="158"/>
      <c r="BP448" s="158"/>
      <c r="BQ448" s="158"/>
      <c r="BR448" s="158"/>
    </row>
    <row r="449">
      <c r="A449" s="158"/>
      <c r="B449" s="210"/>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c r="AW449" s="15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row>
    <row r="450">
      <c r="A450" s="158"/>
      <c r="B450" s="210"/>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row>
    <row r="451">
      <c r="A451" s="158"/>
      <c r="B451" s="210"/>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c r="AW451" s="15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row>
    <row r="452">
      <c r="A452" s="158"/>
      <c r="B452" s="210"/>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row>
    <row r="453">
      <c r="A453" s="158"/>
      <c r="B453" s="210"/>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c r="BF453" s="158"/>
      <c r="BG453" s="158"/>
      <c r="BH453" s="158"/>
      <c r="BI453" s="158"/>
      <c r="BJ453" s="158"/>
      <c r="BK453" s="158"/>
      <c r="BL453" s="158"/>
      <c r="BM453" s="158"/>
      <c r="BN453" s="158"/>
      <c r="BO453" s="158"/>
      <c r="BP453" s="158"/>
      <c r="BQ453" s="158"/>
      <c r="BR453" s="158"/>
    </row>
    <row r="454">
      <c r="A454" s="158"/>
      <c r="B454" s="210"/>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c r="BF454" s="158"/>
      <c r="BG454" s="158"/>
      <c r="BH454" s="158"/>
      <c r="BI454" s="158"/>
      <c r="BJ454" s="158"/>
      <c r="BK454" s="158"/>
      <c r="BL454" s="158"/>
      <c r="BM454" s="158"/>
      <c r="BN454" s="158"/>
      <c r="BO454" s="158"/>
      <c r="BP454" s="158"/>
      <c r="BQ454" s="158"/>
      <c r="BR454" s="158"/>
    </row>
    <row r="455">
      <c r="A455" s="158"/>
      <c r="B455" s="210"/>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row>
    <row r="456">
      <c r="A456" s="158"/>
      <c r="B456" s="210"/>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c r="AW456" s="15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row>
    <row r="457">
      <c r="A457" s="158"/>
      <c r="B457" s="210"/>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c r="AW457" s="15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row>
    <row r="458">
      <c r="A458" s="158"/>
      <c r="B458" s="210"/>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c r="AW458" s="15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row>
    <row r="459">
      <c r="A459" s="158"/>
      <c r="B459" s="210"/>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c r="BF459" s="158"/>
      <c r="BG459" s="158"/>
      <c r="BH459" s="158"/>
      <c r="BI459" s="158"/>
      <c r="BJ459" s="158"/>
      <c r="BK459" s="158"/>
      <c r="BL459" s="158"/>
      <c r="BM459" s="158"/>
      <c r="BN459" s="158"/>
      <c r="BO459" s="158"/>
      <c r="BP459" s="158"/>
      <c r="BQ459" s="158"/>
      <c r="BR459" s="158"/>
    </row>
    <row r="460">
      <c r="A460" s="158"/>
      <c r="B460" s="210"/>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c r="BF460" s="158"/>
      <c r="BG460" s="158"/>
      <c r="BH460" s="158"/>
      <c r="BI460" s="158"/>
      <c r="BJ460" s="158"/>
      <c r="BK460" s="158"/>
      <c r="BL460" s="158"/>
      <c r="BM460" s="158"/>
      <c r="BN460" s="158"/>
      <c r="BO460" s="158"/>
      <c r="BP460" s="158"/>
      <c r="BQ460" s="158"/>
      <c r="BR460" s="158"/>
    </row>
    <row r="461">
      <c r="A461" s="158"/>
      <c r="B461" s="210"/>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row>
    <row r="462">
      <c r="A462" s="158"/>
      <c r="B462" s="210"/>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row>
    <row r="463">
      <c r="A463" s="158"/>
      <c r="B463" s="210"/>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row>
    <row r="464">
      <c r="A464" s="158"/>
      <c r="B464" s="210"/>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row>
    <row r="465">
      <c r="A465" s="158"/>
      <c r="B465" s="210"/>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c r="BF465" s="158"/>
      <c r="BG465" s="158"/>
      <c r="BH465" s="158"/>
      <c r="BI465" s="158"/>
      <c r="BJ465" s="158"/>
      <c r="BK465" s="158"/>
      <c r="BL465" s="158"/>
      <c r="BM465" s="158"/>
      <c r="BN465" s="158"/>
      <c r="BO465" s="158"/>
      <c r="BP465" s="158"/>
      <c r="BQ465" s="158"/>
      <c r="BR465" s="158"/>
    </row>
    <row r="466">
      <c r="A466" s="158"/>
      <c r="B466" s="210"/>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c r="BF466" s="158"/>
      <c r="BG466" s="158"/>
      <c r="BH466" s="158"/>
      <c r="BI466" s="158"/>
      <c r="BJ466" s="158"/>
      <c r="BK466" s="158"/>
      <c r="BL466" s="158"/>
      <c r="BM466" s="158"/>
      <c r="BN466" s="158"/>
      <c r="BO466" s="158"/>
      <c r="BP466" s="158"/>
      <c r="BQ466" s="158"/>
      <c r="BR466" s="158"/>
    </row>
    <row r="467">
      <c r="A467" s="158"/>
      <c r="B467" s="210"/>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row>
    <row r="468">
      <c r="A468" s="158"/>
      <c r="B468" s="210"/>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row>
    <row r="469">
      <c r="A469" s="158"/>
      <c r="B469" s="210"/>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row>
    <row r="470">
      <c r="A470" s="158"/>
      <c r="B470" s="210"/>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row>
    <row r="471">
      <c r="A471" s="158"/>
      <c r="B471" s="210"/>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c r="AW471" s="158"/>
      <c r="AX471" s="158"/>
      <c r="AY471" s="158"/>
      <c r="AZ471" s="158"/>
      <c r="BA471" s="158"/>
      <c r="BB471" s="158"/>
      <c r="BC471" s="158"/>
      <c r="BD471" s="158"/>
      <c r="BE471" s="158"/>
      <c r="BF471" s="158"/>
      <c r="BG471" s="158"/>
      <c r="BH471" s="158"/>
      <c r="BI471" s="158"/>
      <c r="BJ471" s="158"/>
      <c r="BK471" s="158"/>
      <c r="BL471" s="158"/>
      <c r="BM471" s="158"/>
      <c r="BN471" s="158"/>
      <c r="BO471" s="158"/>
      <c r="BP471" s="158"/>
      <c r="BQ471" s="158"/>
      <c r="BR471" s="158"/>
    </row>
    <row r="472">
      <c r="A472" s="158"/>
      <c r="B472" s="210"/>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c r="AW472" s="158"/>
      <c r="AX472" s="158"/>
      <c r="AY472" s="158"/>
      <c r="AZ472" s="158"/>
      <c r="BA472" s="158"/>
      <c r="BB472" s="158"/>
      <c r="BC472" s="158"/>
      <c r="BD472" s="158"/>
      <c r="BE472" s="158"/>
      <c r="BF472" s="158"/>
      <c r="BG472" s="158"/>
      <c r="BH472" s="158"/>
      <c r="BI472" s="158"/>
      <c r="BJ472" s="158"/>
      <c r="BK472" s="158"/>
      <c r="BL472" s="158"/>
      <c r="BM472" s="158"/>
      <c r="BN472" s="158"/>
      <c r="BO472" s="158"/>
      <c r="BP472" s="158"/>
      <c r="BQ472" s="158"/>
      <c r="BR472" s="158"/>
    </row>
    <row r="473">
      <c r="A473" s="158"/>
      <c r="B473" s="210"/>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c r="AW473" s="15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row>
    <row r="474">
      <c r="A474" s="158"/>
      <c r="B474" s="210"/>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row>
    <row r="475">
      <c r="A475" s="158"/>
      <c r="B475" s="210"/>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row>
    <row r="476">
      <c r="A476" s="158"/>
      <c r="B476" s="210"/>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row>
    <row r="477">
      <c r="A477" s="158"/>
      <c r="B477" s="210"/>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c r="BF477" s="158"/>
      <c r="BG477" s="158"/>
      <c r="BH477" s="158"/>
      <c r="BI477" s="158"/>
      <c r="BJ477" s="158"/>
      <c r="BK477" s="158"/>
      <c r="BL477" s="158"/>
      <c r="BM477" s="158"/>
      <c r="BN477" s="158"/>
      <c r="BO477" s="158"/>
      <c r="BP477" s="158"/>
      <c r="BQ477" s="158"/>
      <c r="BR477" s="158"/>
    </row>
    <row r="478">
      <c r="A478" s="158"/>
      <c r="B478" s="210"/>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c r="BF478" s="158"/>
      <c r="BG478" s="158"/>
      <c r="BH478" s="158"/>
      <c r="BI478" s="158"/>
      <c r="BJ478" s="158"/>
      <c r="BK478" s="158"/>
      <c r="BL478" s="158"/>
      <c r="BM478" s="158"/>
      <c r="BN478" s="158"/>
      <c r="BO478" s="158"/>
      <c r="BP478" s="158"/>
      <c r="BQ478" s="158"/>
      <c r="BR478" s="158"/>
    </row>
    <row r="479">
      <c r="A479" s="158"/>
      <c r="B479" s="210"/>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row>
    <row r="480">
      <c r="A480" s="158"/>
      <c r="B480" s="210"/>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row>
    <row r="481">
      <c r="A481" s="158"/>
      <c r="B481" s="210"/>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row>
    <row r="482">
      <c r="A482" s="158"/>
      <c r="B482" s="210"/>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row>
    <row r="483">
      <c r="A483" s="158"/>
      <c r="B483" s="210"/>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c r="AW483" s="158"/>
      <c r="AX483" s="158"/>
      <c r="AY483" s="158"/>
      <c r="AZ483" s="158"/>
      <c r="BA483" s="158"/>
      <c r="BB483" s="158"/>
      <c r="BC483" s="158"/>
      <c r="BD483" s="158"/>
      <c r="BE483" s="158"/>
      <c r="BF483" s="158"/>
      <c r="BG483" s="158"/>
      <c r="BH483" s="158"/>
      <c r="BI483" s="158"/>
      <c r="BJ483" s="158"/>
      <c r="BK483" s="158"/>
      <c r="BL483" s="158"/>
      <c r="BM483" s="158"/>
      <c r="BN483" s="158"/>
      <c r="BO483" s="158"/>
      <c r="BP483" s="158"/>
      <c r="BQ483" s="158"/>
      <c r="BR483" s="158"/>
    </row>
    <row r="484">
      <c r="A484" s="158"/>
      <c r="B484" s="210"/>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c r="AW484" s="158"/>
      <c r="AX484" s="158"/>
      <c r="AY484" s="158"/>
      <c r="AZ484" s="158"/>
      <c r="BA484" s="158"/>
      <c r="BB484" s="158"/>
      <c r="BC484" s="158"/>
      <c r="BD484" s="158"/>
      <c r="BE484" s="158"/>
      <c r="BF484" s="158"/>
      <c r="BG484" s="158"/>
      <c r="BH484" s="158"/>
      <c r="BI484" s="158"/>
      <c r="BJ484" s="158"/>
      <c r="BK484" s="158"/>
      <c r="BL484" s="158"/>
      <c r="BM484" s="158"/>
      <c r="BN484" s="158"/>
      <c r="BO484" s="158"/>
      <c r="BP484" s="158"/>
      <c r="BQ484" s="158"/>
      <c r="BR484" s="158"/>
    </row>
    <row r="485">
      <c r="A485" s="158"/>
      <c r="B485" s="210"/>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row>
    <row r="486">
      <c r="A486" s="158"/>
      <c r="B486" s="210"/>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c r="AW486" s="15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row>
    <row r="487">
      <c r="A487" s="158"/>
      <c r="B487" s="210"/>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c r="AW487" s="15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row>
    <row r="488">
      <c r="A488" s="158"/>
      <c r="B488" s="210"/>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c r="AW488" s="15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row>
    <row r="489">
      <c r="A489" s="158"/>
      <c r="B489" s="210"/>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c r="AW489" s="158"/>
      <c r="AX489" s="158"/>
      <c r="AY489" s="158"/>
      <c r="AZ489" s="158"/>
      <c r="BA489" s="158"/>
      <c r="BB489" s="158"/>
      <c r="BC489" s="158"/>
      <c r="BD489" s="158"/>
      <c r="BE489" s="158"/>
      <c r="BF489" s="158"/>
      <c r="BG489" s="158"/>
      <c r="BH489" s="158"/>
      <c r="BI489" s="158"/>
      <c r="BJ489" s="158"/>
      <c r="BK489" s="158"/>
      <c r="BL489" s="158"/>
      <c r="BM489" s="158"/>
      <c r="BN489" s="158"/>
      <c r="BO489" s="158"/>
      <c r="BP489" s="158"/>
      <c r="BQ489" s="158"/>
      <c r="BR489" s="158"/>
    </row>
    <row r="490">
      <c r="A490" s="158"/>
      <c r="B490" s="210"/>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c r="AW490" s="158"/>
      <c r="AX490" s="158"/>
      <c r="AY490" s="158"/>
      <c r="AZ490" s="158"/>
      <c r="BA490" s="158"/>
      <c r="BB490" s="158"/>
      <c r="BC490" s="158"/>
      <c r="BD490" s="158"/>
      <c r="BE490" s="158"/>
      <c r="BF490" s="158"/>
      <c r="BG490" s="158"/>
      <c r="BH490" s="158"/>
      <c r="BI490" s="158"/>
      <c r="BJ490" s="158"/>
      <c r="BK490" s="158"/>
      <c r="BL490" s="158"/>
      <c r="BM490" s="158"/>
      <c r="BN490" s="158"/>
      <c r="BO490" s="158"/>
      <c r="BP490" s="158"/>
      <c r="BQ490" s="158"/>
      <c r="BR490" s="158"/>
    </row>
    <row r="491">
      <c r="A491" s="158"/>
      <c r="B491" s="210"/>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row>
    <row r="492">
      <c r="A492" s="158"/>
      <c r="B492" s="210"/>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c r="AW492" s="15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row>
    <row r="493">
      <c r="A493" s="158"/>
      <c r="B493" s="210"/>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c r="AW493" s="15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row>
    <row r="494">
      <c r="A494" s="158"/>
      <c r="B494" s="210"/>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row>
    <row r="495">
      <c r="A495" s="158"/>
      <c r="B495" s="210"/>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c r="BF495" s="158"/>
      <c r="BG495" s="158"/>
      <c r="BH495" s="158"/>
      <c r="BI495" s="158"/>
      <c r="BJ495" s="158"/>
      <c r="BK495" s="158"/>
      <c r="BL495" s="158"/>
      <c r="BM495" s="158"/>
      <c r="BN495" s="158"/>
      <c r="BO495" s="158"/>
      <c r="BP495" s="158"/>
      <c r="BQ495" s="158"/>
      <c r="BR495" s="158"/>
    </row>
    <row r="496">
      <c r="A496" s="158"/>
      <c r="B496" s="210"/>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c r="BF496" s="158"/>
      <c r="BG496" s="158"/>
      <c r="BH496" s="158"/>
      <c r="BI496" s="158"/>
      <c r="BJ496" s="158"/>
      <c r="BK496" s="158"/>
      <c r="BL496" s="158"/>
      <c r="BM496" s="158"/>
      <c r="BN496" s="158"/>
      <c r="BO496" s="158"/>
      <c r="BP496" s="158"/>
      <c r="BQ496" s="158"/>
      <c r="BR496" s="158"/>
    </row>
    <row r="497">
      <c r="A497" s="158"/>
      <c r="B497" s="210"/>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c r="AW497" s="15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row>
    <row r="498">
      <c r="A498" s="158"/>
      <c r="B498" s="210"/>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row>
    <row r="499">
      <c r="A499" s="158"/>
      <c r="B499" s="210"/>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row>
    <row r="500">
      <c r="A500" s="158"/>
      <c r="B500" s="210"/>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row>
    <row r="501">
      <c r="A501" s="158"/>
      <c r="B501" s="210"/>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c r="BF501" s="158"/>
      <c r="BG501" s="158"/>
      <c r="BH501" s="158"/>
      <c r="BI501" s="158"/>
      <c r="BJ501" s="158"/>
      <c r="BK501" s="158"/>
      <c r="BL501" s="158"/>
      <c r="BM501" s="158"/>
      <c r="BN501" s="158"/>
      <c r="BO501" s="158"/>
      <c r="BP501" s="158"/>
      <c r="BQ501" s="158"/>
      <c r="BR501" s="158"/>
    </row>
    <row r="502">
      <c r="A502" s="158"/>
      <c r="B502" s="210"/>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c r="AW502" s="158"/>
      <c r="AX502" s="158"/>
      <c r="AY502" s="158"/>
      <c r="AZ502" s="158"/>
      <c r="BA502" s="158"/>
      <c r="BB502" s="158"/>
      <c r="BC502" s="158"/>
      <c r="BD502" s="158"/>
      <c r="BE502" s="158"/>
      <c r="BF502" s="158"/>
      <c r="BG502" s="158"/>
      <c r="BH502" s="158"/>
      <c r="BI502" s="158"/>
      <c r="BJ502" s="158"/>
      <c r="BK502" s="158"/>
      <c r="BL502" s="158"/>
      <c r="BM502" s="158"/>
      <c r="BN502" s="158"/>
      <c r="BO502" s="158"/>
      <c r="BP502" s="158"/>
      <c r="BQ502" s="158"/>
      <c r="BR502" s="158"/>
    </row>
    <row r="503">
      <c r="A503" s="158"/>
      <c r="B503" s="210"/>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row>
    <row r="504">
      <c r="A504" s="158"/>
      <c r="B504" s="210"/>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row>
    <row r="505">
      <c r="A505" s="158"/>
      <c r="B505" s="210"/>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row>
    <row r="506">
      <c r="A506" s="158"/>
      <c r="B506" s="210"/>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row>
    <row r="507">
      <c r="A507" s="158"/>
      <c r="B507" s="210"/>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c r="AW507" s="158"/>
      <c r="AX507" s="158"/>
      <c r="AY507" s="158"/>
      <c r="AZ507" s="158"/>
      <c r="BA507" s="158"/>
      <c r="BB507" s="158"/>
      <c r="BC507" s="158"/>
      <c r="BD507" s="158"/>
      <c r="BE507" s="158"/>
      <c r="BF507" s="158"/>
      <c r="BG507" s="158"/>
      <c r="BH507" s="158"/>
      <c r="BI507" s="158"/>
      <c r="BJ507" s="158"/>
      <c r="BK507" s="158"/>
      <c r="BL507" s="158"/>
      <c r="BM507" s="158"/>
      <c r="BN507" s="158"/>
      <c r="BO507" s="158"/>
      <c r="BP507" s="158"/>
      <c r="BQ507" s="158"/>
      <c r="BR507" s="158"/>
    </row>
    <row r="508">
      <c r="A508" s="158"/>
      <c r="B508" s="210"/>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c r="BF508" s="158"/>
      <c r="BG508" s="158"/>
      <c r="BH508" s="158"/>
      <c r="BI508" s="158"/>
      <c r="BJ508" s="158"/>
      <c r="BK508" s="158"/>
      <c r="BL508" s="158"/>
      <c r="BM508" s="158"/>
      <c r="BN508" s="158"/>
      <c r="BO508" s="158"/>
      <c r="BP508" s="158"/>
      <c r="BQ508" s="158"/>
      <c r="BR508" s="158"/>
    </row>
    <row r="509">
      <c r="A509" s="158"/>
      <c r="B509" s="210"/>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row>
    <row r="510">
      <c r="A510" s="158"/>
      <c r="B510" s="210"/>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row>
    <row r="511">
      <c r="A511" s="158"/>
      <c r="B511" s="210"/>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row>
    <row r="512">
      <c r="A512" s="158"/>
      <c r="B512" s="210"/>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row>
    <row r="513">
      <c r="A513" s="158"/>
      <c r="B513" s="210"/>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row>
    <row r="514">
      <c r="A514" s="158"/>
      <c r="B514" s="210"/>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row>
    <row r="515">
      <c r="A515" s="158"/>
      <c r="B515" s="210"/>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row>
    <row r="516">
      <c r="A516" s="158"/>
      <c r="B516" s="210"/>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row>
    <row r="517">
      <c r="A517" s="158"/>
      <c r="B517" s="210"/>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row>
    <row r="518">
      <c r="A518" s="158"/>
      <c r="B518" s="210"/>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c r="AW518" s="15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row>
    <row r="519">
      <c r="A519" s="158"/>
      <c r="B519" s="210"/>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c r="BF519" s="158"/>
      <c r="BG519" s="158"/>
      <c r="BH519" s="158"/>
      <c r="BI519" s="158"/>
      <c r="BJ519" s="158"/>
      <c r="BK519" s="158"/>
      <c r="BL519" s="158"/>
      <c r="BM519" s="158"/>
      <c r="BN519" s="158"/>
      <c r="BO519" s="158"/>
      <c r="BP519" s="158"/>
      <c r="BQ519" s="158"/>
      <c r="BR519" s="158"/>
    </row>
    <row r="520">
      <c r="A520" s="158"/>
      <c r="B520" s="210"/>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c r="AW520" s="158"/>
      <c r="AX520" s="158"/>
      <c r="AY520" s="158"/>
      <c r="AZ520" s="158"/>
      <c r="BA520" s="158"/>
      <c r="BB520" s="158"/>
      <c r="BC520" s="158"/>
      <c r="BD520" s="158"/>
      <c r="BE520" s="158"/>
      <c r="BF520" s="158"/>
      <c r="BG520" s="158"/>
      <c r="BH520" s="158"/>
      <c r="BI520" s="158"/>
      <c r="BJ520" s="158"/>
      <c r="BK520" s="158"/>
      <c r="BL520" s="158"/>
      <c r="BM520" s="158"/>
      <c r="BN520" s="158"/>
      <c r="BO520" s="158"/>
      <c r="BP520" s="158"/>
      <c r="BQ520" s="158"/>
      <c r="BR520" s="158"/>
    </row>
    <row r="521">
      <c r="A521" s="158"/>
      <c r="B521" s="210"/>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c r="AW521" s="15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row>
    <row r="522">
      <c r="A522" s="158"/>
      <c r="B522" s="210"/>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row>
    <row r="523">
      <c r="A523" s="158"/>
      <c r="B523" s="210"/>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row>
    <row r="524">
      <c r="A524" s="158"/>
      <c r="B524" s="210"/>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c r="AW524" s="15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row>
    <row r="525">
      <c r="A525" s="158"/>
      <c r="B525" s="210"/>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c r="AW525" s="158"/>
      <c r="AX525" s="158"/>
      <c r="AY525" s="158"/>
      <c r="AZ525" s="158"/>
      <c r="BA525" s="158"/>
      <c r="BB525" s="158"/>
      <c r="BC525" s="158"/>
      <c r="BD525" s="158"/>
      <c r="BE525" s="158"/>
      <c r="BF525" s="158"/>
      <c r="BG525" s="158"/>
      <c r="BH525" s="158"/>
      <c r="BI525" s="158"/>
      <c r="BJ525" s="158"/>
      <c r="BK525" s="158"/>
      <c r="BL525" s="158"/>
      <c r="BM525" s="158"/>
      <c r="BN525" s="158"/>
      <c r="BO525" s="158"/>
      <c r="BP525" s="158"/>
      <c r="BQ525" s="158"/>
      <c r="BR525" s="158"/>
    </row>
    <row r="526">
      <c r="A526" s="158"/>
      <c r="B526" s="210"/>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c r="AW526" s="158"/>
      <c r="AX526" s="158"/>
      <c r="AY526" s="158"/>
      <c r="AZ526" s="158"/>
      <c r="BA526" s="158"/>
      <c r="BB526" s="158"/>
      <c r="BC526" s="158"/>
      <c r="BD526" s="158"/>
      <c r="BE526" s="158"/>
      <c r="BF526" s="158"/>
      <c r="BG526" s="158"/>
      <c r="BH526" s="158"/>
      <c r="BI526" s="158"/>
      <c r="BJ526" s="158"/>
      <c r="BK526" s="158"/>
      <c r="BL526" s="158"/>
      <c r="BM526" s="158"/>
      <c r="BN526" s="158"/>
      <c r="BO526" s="158"/>
      <c r="BP526" s="158"/>
      <c r="BQ526" s="158"/>
      <c r="BR526" s="158"/>
    </row>
    <row r="527">
      <c r="A527" s="158"/>
      <c r="B527" s="210"/>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c r="AW527" s="15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row>
    <row r="528">
      <c r="A528" s="158"/>
      <c r="B528" s="210"/>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c r="AW528" s="15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row>
    <row r="529">
      <c r="A529" s="158"/>
      <c r="B529" s="210"/>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c r="AW529" s="15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row>
    <row r="530">
      <c r="A530" s="158"/>
      <c r="B530" s="210"/>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c r="AW530" s="15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row>
    <row r="531">
      <c r="A531" s="158"/>
      <c r="B531" s="210"/>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c r="AW531" s="158"/>
      <c r="AX531" s="158"/>
      <c r="AY531" s="158"/>
      <c r="AZ531" s="158"/>
      <c r="BA531" s="158"/>
      <c r="BB531" s="158"/>
      <c r="BC531" s="158"/>
      <c r="BD531" s="158"/>
      <c r="BE531" s="158"/>
      <c r="BF531" s="158"/>
      <c r="BG531" s="158"/>
      <c r="BH531" s="158"/>
      <c r="BI531" s="158"/>
      <c r="BJ531" s="158"/>
      <c r="BK531" s="158"/>
      <c r="BL531" s="158"/>
      <c r="BM531" s="158"/>
      <c r="BN531" s="158"/>
      <c r="BO531" s="158"/>
      <c r="BP531" s="158"/>
      <c r="BQ531" s="158"/>
      <c r="BR531" s="158"/>
    </row>
    <row r="532">
      <c r="A532" s="158"/>
      <c r="B532" s="210"/>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c r="AW532" s="158"/>
      <c r="AX532" s="158"/>
      <c r="AY532" s="158"/>
      <c r="AZ532" s="158"/>
      <c r="BA532" s="158"/>
      <c r="BB532" s="158"/>
      <c r="BC532" s="158"/>
      <c r="BD532" s="158"/>
      <c r="BE532" s="158"/>
      <c r="BF532" s="158"/>
      <c r="BG532" s="158"/>
      <c r="BH532" s="158"/>
      <c r="BI532" s="158"/>
      <c r="BJ532" s="158"/>
      <c r="BK532" s="158"/>
      <c r="BL532" s="158"/>
      <c r="BM532" s="158"/>
      <c r="BN532" s="158"/>
      <c r="BO532" s="158"/>
      <c r="BP532" s="158"/>
      <c r="BQ532" s="158"/>
      <c r="BR532" s="158"/>
    </row>
    <row r="533">
      <c r="A533" s="158"/>
      <c r="B533" s="210"/>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c r="AW533" s="158"/>
      <c r="AX533" s="15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row>
    <row r="534">
      <c r="A534" s="158"/>
      <c r="B534" s="210"/>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c r="AW534" s="158"/>
      <c r="AX534" s="15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row>
    <row r="535">
      <c r="A535" s="158"/>
      <c r="B535" s="210"/>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row>
    <row r="536">
      <c r="A536" s="158"/>
      <c r="B536" s="210"/>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row>
    <row r="537">
      <c r="A537" s="158"/>
      <c r="B537" s="210"/>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c r="AW537" s="158"/>
      <c r="AX537" s="158"/>
      <c r="AY537" s="158"/>
      <c r="AZ537" s="158"/>
      <c r="BA537" s="158"/>
      <c r="BB537" s="158"/>
      <c r="BC537" s="158"/>
      <c r="BD537" s="158"/>
      <c r="BE537" s="158"/>
      <c r="BF537" s="158"/>
      <c r="BG537" s="158"/>
      <c r="BH537" s="158"/>
      <c r="BI537" s="158"/>
      <c r="BJ537" s="158"/>
      <c r="BK537" s="158"/>
      <c r="BL537" s="158"/>
      <c r="BM537" s="158"/>
      <c r="BN537" s="158"/>
      <c r="BO537" s="158"/>
      <c r="BP537" s="158"/>
      <c r="BQ537" s="158"/>
      <c r="BR537" s="158"/>
    </row>
    <row r="538">
      <c r="A538" s="158"/>
      <c r="B538" s="210"/>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c r="AW538" s="158"/>
      <c r="AX538" s="158"/>
      <c r="AY538" s="158"/>
      <c r="AZ538" s="158"/>
      <c r="BA538" s="158"/>
      <c r="BB538" s="158"/>
      <c r="BC538" s="158"/>
      <c r="BD538" s="158"/>
      <c r="BE538" s="158"/>
      <c r="BF538" s="158"/>
      <c r="BG538" s="158"/>
      <c r="BH538" s="158"/>
      <c r="BI538" s="158"/>
      <c r="BJ538" s="158"/>
      <c r="BK538" s="158"/>
      <c r="BL538" s="158"/>
      <c r="BM538" s="158"/>
      <c r="BN538" s="158"/>
      <c r="BO538" s="158"/>
      <c r="BP538" s="158"/>
      <c r="BQ538" s="158"/>
      <c r="BR538" s="158"/>
    </row>
    <row r="539">
      <c r="A539" s="158"/>
      <c r="B539" s="210"/>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c r="AW539" s="158"/>
      <c r="AX539" s="158"/>
      <c r="AY539" s="158"/>
      <c r="AZ539" s="158"/>
      <c r="BA539" s="158"/>
      <c r="BB539" s="158"/>
      <c r="BC539" s="158"/>
      <c r="BD539" s="158"/>
      <c r="BE539" s="158"/>
      <c r="BF539" s="158"/>
      <c r="BG539" s="158"/>
      <c r="BH539" s="158"/>
      <c r="BI539" s="158"/>
      <c r="BJ539" s="158"/>
      <c r="BK539" s="158"/>
      <c r="BL539" s="158"/>
      <c r="BM539" s="158"/>
      <c r="BN539" s="158"/>
      <c r="BO539" s="158"/>
      <c r="BP539" s="158"/>
      <c r="BQ539" s="158"/>
      <c r="BR539" s="158"/>
    </row>
    <row r="540">
      <c r="A540" s="158"/>
      <c r="B540" s="210"/>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c r="AW540" s="158"/>
      <c r="AX540" s="158"/>
      <c r="AY540" s="158"/>
      <c r="AZ540" s="158"/>
      <c r="BA540" s="158"/>
      <c r="BB540" s="158"/>
      <c r="BC540" s="158"/>
      <c r="BD540" s="158"/>
      <c r="BE540" s="158"/>
      <c r="BF540" s="158"/>
      <c r="BG540" s="158"/>
      <c r="BH540" s="158"/>
      <c r="BI540" s="158"/>
      <c r="BJ540" s="158"/>
      <c r="BK540" s="158"/>
      <c r="BL540" s="158"/>
      <c r="BM540" s="158"/>
      <c r="BN540" s="158"/>
      <c r="BO540" s="158"/>
      <c r="BP540" s="158"/>
      <c r="BQ540" s="158"/>
      <c r="BR540" s="158"/>
    </row>
    <row r="541">
      <c r="A541" s="158"/>
      <c r="B541" s="210"/>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c r="AW541" s="158"/>
      <c r="AX541" s="158"/>
      <c r="AY541" s="158"/>
      <c r="AZ541" s="158"/>
      <c r="BA541" s="158"/>
      <c r="BB541" s="158"/>
      <c r="BC541" s="158"/>
      <c r="BD541" s="158"/>
      <c r="BE541" s="158"/>
      <c r="BF541" s="158"/>
      <c r="BG541" s="158"/>
      <c r="BH541" s="158"/>
      <c r="BI541" s="158"/>
      <c r="BJ541" s="158"/>
      <c r="BK541" s="158"/>
      <c r="BL541" s="158"/>
      <c r="BM541" s="158"/>
      <c r="BN541" s="158"/>
      <c r="BO541" s="158"/>
      <c r="BP541" s="158"/>
      <c r="BQ541" s="158"/>
      <c r="BR541" s="158"/>
    </row>
    <row r="542">
      <c r="A542" s="158"/>
      <c r="B542" s="210"/>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c r="BF542" s="158"/>
      <c r="BG542" s="158"/>
      <c r="BH542" s="158"/>
      <c r="BI542" s="158"/>
      <c r="BJ542" s="158"/>
      <c r="BK542" s="158"/>
      <c r="BL542" s="158"/>
      <c r="BM542" s="158"/>
      <c r="BN542" s="158"/>
      <c r="BO542" s="158"/>
      <c r="BP542" s="158"/>
      <c r="BQ542" s="158"/>
      <c r="BR542" s="158"/>
    </row>
    <row r="543">
      <c r="A543" s="158"/>
      <c r="B543" s="210"/>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c r="BF543" s="158"/>
      <c r="BG543" s="158"/>
      <c r="BH543" s="158"/>
      <c r="BI543" s="158"/>
      <c r="BJ543" s="158"/>
      <c r="BK543" s="158"/>
      <c r="BL543" s="158"/>
      <c r="BM543" s="158"/>
      <c r="BN543" s="158"/>
      <c r="BO543" s="158"/>
      <c r="BP543" s="158"/>
      <c r="BQ543" s="158"/>
      <c r="BR543" s="158"/>
    </row>
    <row r="544">
      <c r="A544" s="158"/>
      <c r="B544" s="210"/>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c r="BF544" s="158"/>
      <c r="BG544" s="158"/>
      <c r="BH544" s="158"/>
      <c r="BI544" s="158"/>
      <c r="BJ544" s="158"/>
      <c r="BK544" s="158"/>
      <c r="BL544" s="158"/>
      <c r="BM544" s="158"/>
      <c r="BN544" s="158"/>
      <c r="BO544" s="158"/>
      <c r="BP544" s="158"/>
      <c r="BQ544" s="158"/>
      <c r="BR544" s="158"/>
    </row>
    <row r="545">
      <c r="A545" s="158"/>
      <c r="B545" s="210"/>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c r="BF545" s="158"/>
      <c r="BG545" s="158"/>
      <c r="BH545" s="158"/>
      <c r="BI545" s="158"/>
      <c r="BJ545" s="158"/>
      <c r="BK545" s="158"/>
      <c r="BL545" s="158"/>
      <c r="BM545" s="158"/>
      <c r="BN545" s="158"/>
      <c r="BO545" s="158"/>
      <c r="BP545" s="158"/>
      <c r="BQ545" s="158"/>
      <c r="BR545" s="158"/>
    </row>
    <row r="546">
      <c r="A546" s="158"/>
      <c r="B546" s="210"/>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c r="BF546" s="158"/>
      <c r="BG546" s="158"/>
      <c r="BH546" s="158"/>
      <c r="BI546" s="158"/>
      <c r="BJ546" s="158"/>
      <c r="BK546" s="158"/>
      <c r="BL546" s="158"/>
      <c r="BM546" s="158"/>
      <c r="BN546" s="158"/>
      <c r="BO546" s="158"/>
      <c r="BP546" s="158"/>
      <c r="BQ546" s="158"/>
      <c r="BR546" s="158"/>
    </row>
    <row r="547">
      <c r="A547" s="158"/>
      <c r="B547" s="210"/>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c r="BF547" s="158"/>
      <c r="BG547" s="158"/>
      <c r="BH547" s="158"/>
      <c r="BI547" s="158"/>
      <c r="BJ547" s="158"/>
      <c r="BK547" s="158"/>
      <c r="BL547" s="158"/>
      <c r="BM547" s="158"/>
      <c r="BN547" s="158"/>
      <c r="BO547" s="158"/>
      <c r="BP547" s="158"/>
      <c r="BQ547" s="158"/>
      <c r="BR547" s="158"/>
    </row>
    <row r="548">
      <c r="A548" s="158"/>
      <c r="B548" s="210"/>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c r="BF548" s="158"/>
      <c r="BG548" s="158"/>
      <c r="BH548" s="158"/>
      <c r="BI548" s="158"/>
      <c r="BJ548" s="158"/>
      <c r="BK548" s="158"/>
      <c r="BL548" s="158"/>
      <c r="BM548" s="158"/>
      <c r="BN548" s="158"/>
      <c r="BO548" s="158"/>
      <c r="BP548" s="158"/>
      <c r="BQ548" s="158"/>
      <c r="BR548" s="158"/>
    </row>
    <row r="549">
      <c r="A549" s="158"/>
      <c r="B549" s="210"/>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c r="BF549" s="158"/>
      <c r="BG549" s="158"/>
      <c r="BH549" s="158"/>
      <c r="BI549" s="158"/>
      <c r="BJ549" s="158"/>
      <c r="BK549" s="158"/>
      <c r="BL549" s="158"/>
      <c r="BM549" s="158"/>
      <c r="BN549" s="158"/>
      <c r="BO549" s="158"/>
      <c r="BP549" s="158"/>
      <c r="BQ549" s="158"/>
      <c r="BR549" s="158"/>
    </row>
    <row r="550">
      <c r="A550" s="158"/>
      <c r="B550" s="210"/>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c r="BF550" s="158"/>
      <c r="BG550" s="158"/>
      <c r="BH550" s="158"/>
      <c r="BI550" s="158"/>
      <c r="BJ550" s="158"/>
      <c r="BK550" s="158"/>
      <c r="BL550" s="158"/>
      <c r="BM550" s="158"/>
      <c r="BN550" s="158"/>
      <c r="BO550" s="158"/>
      <c r="BP550" s="158"/>
      <c r="BQ550" s="158"/>
      <c r="BR550" s="158"/>
    </row>
    <row r="551">
      <c r="A551" s="158"/>
      <c r="B551" s="210"/>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c r="BF551" s="158"/>
      <c r="BG551" s="158"/>
      <c r="BH551" s="158"/>
      <c r="BI551" s="158"/>
      <c r="BJ551" s="158"/>
      <c r="BK551" s="158"/>
      <c r="BL551" s="158"/>
      <c r="BM551" s="158"/>
      <c r="BN551" s="158"/>
      <c r="BO551" s="158"/>
      <c r="BP551" s="158"/>
      <c r="BQ551" s="158"/>
      <c r="BR551" s="158"/>
    </row>
    <row r="552">
      <c r="A552" s="158"/>
      <c r="B552" s="210"/>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c r="AW552" s="158"/>
      <c r="AX552" s="158"/>
      <c r="AY552" s="158"/>
      <c r="AZ552" s="158"/>
      <c r="BA552" s="158"/>
      <c r="BB552" s="158"/>
      <c r="BC552" s="158"/>
      <c r="BD552" s="158"/>
      <c r="BE552" s="158"/>
      <c r="BF552" s="158"/>
      <c r="BG552" s="158"/>
      <c r="BH552" s="158"/>
      <c r="BI552" s="158"/>
      <c r="BJ552" s="158"/>
      <c r="BK552" s="158"/>
      <c r="BL552" s="158"/>
      <c r="BM552" s="158"/>
      <c r="BN552" s="158"/>
      <c r="BO552" s="158"/>
      <c r="BP552" s="158"/>
      <c r="BQ552" s="158"/>
      <c r="BR552" s="158"/>
    </row>
    <row r="553">
      <c r="A553" s="158"/>
      <c r="B553" s="210"/>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c r="AW553" s="158"/>
      <c r="AX553" s="158"/>
      <c r="AY553" s="158"/>
      <c r="AZ553" s="158"/>
      <c r="BA553" s="158"/>
      <c r="BB553" s="158"/>
      <c r="BC553" s="158"/>
      <c r="BD553" s="158"/>
      <c r="BE553" s="158"/>
      <c r="BF553" s="158"/>
      <c r="BG553" s="158"/>
      <c r="BH553" s="158"/>
      <c r="BI553" s="158"/>
      <c r="BJ553" s="158"/>
      <c r="BK553" s="158"/>
      <c r="BL553" s="158"/>
      <c r="BM553" s="158"/>
      <c r="BN553" s="158"/>
      <c r="BO553" s="158"/>
      <c r="BP553" s="158"/>
      <c r="BQ553" s="158"/>
      <c r="BR553" s="158"/>
    </row>
    <row r="554">
      <c r="A554" s="158"/>
      <c r="B554" s="210"/>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c r="AW554" s="158"/>
      <c r="AX554" s="158"/>
      <c r="AY554" s="158"/>
      <c r="AZ554" s="158"/>
      <c r="BA554" s="158"/>
      <c r="BB554" s="158"/>
      <c r="BC554" s="158"/>
      <c r="BD554" s="158"/>
      <c r="BE554" s="158"/>
      <c r="BF554" s="158"/>
      <c r="BG554" s="158"/>
      <c r="BH554" s="158"/>
      <c r="BI554" s="158"/>
      <c r="BJ554" s="158"/>
      <c r="BK554" s="158"/>
      <c r="BL554" s="158"/>
      <c r="BM554" s="158"/>
      <c r="BN554" s="158"/>
      <c r="BO554" s="158"/>
      <c r="BP554" s="158"/>
      <c r="BQ554" s="158"/>
      <c r="BR554" s="158"/>
    </row>
    <row r="555">
      <c r="A555" s="158"/>
      <c r="B555" s="210"/>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c r="AW555" s="158"/>
      <c r="AX555" s="158"/>
      <c r="AY555" s="158"/>
      <c r="AZ555" s="158"/>
      <c r="BA555" s="158"/>
      <c r="BB555" s="158"/>
      <c r="BC555" s="158"/>
      <c r="BD555" s="158"/>
      <c r="BE555" s="158"/>
      <c r="BF555" s="158"/>
      <c r="BG555" s="158"/>
      <c r="BH555" s="158"/>
      <c r="BI555" s="158"/>
      <c r="BJ555" s="158"/>
      <c r="BK555" s="158"/>
      <c r="BL555" s="158"/>
      <c r="BM555" s="158"/>
      <c r="BN555" s="158"/>
      <c r="BO555" s="158"/>
      <c r="BP555" s="158"/>
      <c r="BQ555" s="158"/>
      <c r="BR555" s="158"/>
    </row>
    <row r="556">
      <c r="A556" s="158"/>
      <c r="B556" s="210"/>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c r="AW556" s="158"/>
      <c r="AX556" s="158"/>
      <c r="AY556" s="158"/>
      <c r="AZ556" s="158"/>
      <c r="BA556" s="158"/>
      <c r="BB556" s="158"/>
      <c r="BC556" s="158"/>
      <c r="BD556" s="158"/>
      <c r="BE556" s="158"/>
      <c r="BF556" s="158"/>
      <c r="BG556" s="158"/>
      <c r="BH556" s="158"/>
      <c r="BI556" s="158"/>
      <c r="BJ556" s="158"/>
      <c r="BK556" s="158"/>
      <c r="BL556" s="158"/>
      <c r="BM556" s="158"/>
      <c r="BN556" s="158"/>
      <c r="BO556" s="158"/>
      <c r="BP556" s="158"/>
      <c r="BQ556" s="158"/>
      <c r="BR556" s="158"/>
    </row>
    <row r="557">
      <c r="A557" s="158"/>
      <c r="B557" s="210"/>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c r="BF557" s="158"/>
      <c r="BG557" s="158"/>
      <c r="BH557" s="158"/>
      <c r="BI557" s="158"/>
      <c r="BJ557" s="158"/>
      <c r="BK557" s="158"/>
      <c r="BL557" s="158"/>
      <c r="BM557" s="158"/>
      <c r="BN557" s="158"/>
      <c r="BO557" s="158"/>
      <c r="BP557" s="158"/>
      <c r="BQ557" s="158"/>
      <c r="BR557" s="158"/>
    </row>
    <row r="558">
      <c r="A558" s="158"/>
      <c r="B558" s="210"/>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c r="AW558" s="158"/>
      <c r="AX558" s="158"/>
      <c r="AY558" s="158"/>
      <c r="AZ558" s="158"/>
      <c r="BA558" s="158"/>
      <c r="BB558" s="158"/>
      <c r="BC558" s="158"/>
      <c r="BD558" s="158"/>
      <c r="BE558" s="158"/>
      <c r="BF558" s="158"/>
      <c r="BG558" s="158"/>
      <c r="BH558" s="158"/>
      <c r="BI558" s="158"/>
      <c r="BJ558" s="158"/>
      <c r="BK558" s="158"/>
      <c r="BL558" s="158"/>
      <c r="BM558" s="158"/>
      <c r="BN558" s="158"/>
      <c r="BO558" s="158"/>
      <c r="BP558" s="158"/>
      <c r="BQ558" s="158"/>
      <c r="BR558" s="158"/>
    </row>
    <row r="559">
      <c r="A559" s="158"/>
      <c r="B559" s="210"/>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c r="BF559" s="158"/>
      <c r="BG559" s="158"/>
      <c r="BH559" s="158"/>
      <c r="BI559" s="158"/>
      <c r="BJ559" s="158"/>
      <c r="BK559" s="158"/>
      <c r="BL559" s="158"/>
      <c r="BM559" s="158"/>
      <c r="BN559" s="158"/>
      <c r="BO559" s="158"/>
      <c r="BP559" s="158"/>
      <c r="BQ559" s="158"/>
      <c r="BR559" s="158"/>
    </row>
    <row r="560">
      <c r="A560" s="158"/>
      <c r="B560" s="210"/>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c r="BF560" s="158"/>
      <c r="BG560" s="158"/>
      <c r="BH560" s="158"/>
      <c r="BI560" s="158"/>
      <c r="BJ560" s="158"/>
      <c r="BK560" s="158"/>
      <c r="BL560" s="158"/>
      <c r="BM560" s="158"/>
      <c r="BN560" s="158"/>
      <c r="BO560" s="158"/>
      <c r="BP560" s="158"/>
      <c r="BQ560" s="158"/>
      <c r="BR560" s="158"/>
    </row>
    <row r="561">
      <c r="A561" s="158"/>
      <c r="B561" s="210"/>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c r="BF561" s="158"/>
      <c r="BG561" s="158"/>
      <c r="BH561" s="158"/>
      <c r="BI561" s="158"/>
      <c r="BJ561" s="158"/>
      <c r="BK561" s="158"/>
      <c r="BL561" s="158"/>
      <c r="BM561" s="158"/>
      <c r="BN561" s="158"/>
      <c r="BO561" s="158"/>
      <c r="BP561" s="158"/>
      <c r="BQ561" s="158"/>
      <c r="BR561" s="158"/>
    </row>
    <row r="562">
      <c r="A562" s="158"/>
      <c r="B562" s="210"/>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c r="BF562" s="158"/>
      <c r="BG562" s="158"/>
      <c r="BH562" s="158"/>
      <c r="BI562" s="158"/>
      <c r="BJ562" s="158"/>
      <c r="BK562" s="158"/>
      <c r="BL562" s="158"/>
      <c r="BM562" s="158"/>
      <c r="BN562" s="158"/>
      <c r="BO562" s="158"/>
      <c r="BP562" s="158"/>
      <c r="BQ562" s="158"/>
      <c r="BR562" s="158"/>
    </row>
    <row r="563">
      <c r="A563" s="158"/>
      <c r="B563" s="210"/>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c r="AW563" s="158"/>
      <c r="AX563" s="158"/>
      <c r="AY563" s="158"/>
      <c r="AZ563" s="158"/>
      <c r="BA563" s="158"/>
      <c r="BB563" s="158"/>
      <c r="BC563" s="158"/>
      <c r="BD563" s="158"/>
      <c r="BE563" s="158"/>
      <c r="BF563" s="158"/>
      <c r="BG563" s="158"/>
      <c r="BH563" s="158"/>
      <c r="BI563" s="158"/>
      <c r="BJ563" s="158"/>
      <c r="BK563" s="158"/>
      <c r="BL563" s="158"/>
      <c r="BM563" s="158"/>
      <c r="BN563" s="158"/>
      <c r="BO563" s="158"/>
      <c r="BP563" s="158"/>
      <c r="BQ563" s="158"/>
      <c r="BR563" s="158"/>
    </row>
    <row r="564">
      <c r="A564" s="158"/>
      <c r="B564" s="210"/>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c r="AW564" s="158"/>
      <c r="AX564" s="158"/>
      <c r="AY564" s="158"/>
      <c r="AZ564" s="158"/>
      <c r="BA564" s="158"/>
      <c r="BB564" s="158"/>
      <c r="BC564" s="158"/>
      <c r="BD564" s="158"/>
      <c r="BE564" s="158"/>
      <c r="BF564" s="158"/>
      <c r="BG564" s="158"/>
      <c r="BH564" s="158"/>
      <c r="BI564" s="158"/>
      <c r="BJ564" s="158"/>
      <c r="BK564" s="158"/>
      <c r="BL564" s="158"/>
      <c r="BM564" s="158"/>
      <c r="BN564" s="158"/>
      <c r="BO564" s="158"/>
      <c r="BP564" s="158"/>
      <c r="BQ564" s="158"/>
      <c r="BR564" s="158"/>
    </row>
    <row r="565">
      <c r="A565" s="158"/>
      <c r="B565" s="210"/>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c r="AW565" s="158"/>
      <c r="AX565" s="158"/>
      <c r="AY565" s="158"/>
      <c r="AZ565" s="158"/>
      <c r="BA565" s="158"/>
      <c r="BB565" s="158"/>
      <c r="BC565" s="158"/>
      <c r="BD565" s="158"/>
      <c r="BE565" s="158"/>
      <c r="BF565" s="158"/>
      <c r="BG565" s="158"/>
      <c r="BH565" s="158"/>
      <c r="BI565" s="158"/>
      <c r="BJ565" s="158"/>
      <c r="BK565" s="158"/>
      <c r="BL565" s="158"/>
      <c r="BM565" s="158"/>
      <c r="BN565" s="158"/>
      <c r="BO565" s="158"/>
      <c r="BP565" s="158"/>
      <c r="BQ565" s="158"/>
      <c r="BR565" s="158"/>
    </row>
    <row r="566">
      <c r="A566" s="158"/>
      <c r="B566" s="210"/>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c r="AW566" s="158"/>
      <c r="AX566" s="158"/>
      <c r="AY566" s="158"/>
      <c r="AZ566" s="158"/>
      <c r="BA566" s="158"/>
      <c r="BB566" s="158"/>
      <c r="BC566" s="158"/>
      <c r="BD566" s="158"/>
      <c r="BE566" s="158"/>
      <c r="BF566" s="158"/>
      <c r="BG566" s="158"/>
      <c r="BH566" s="158"/>
      <c r="BI566" s="158"/>
      <c r="BJ566" s="158"/>
      <c r="BK566" s="158"/>
      <c r="BL566" s="158"/>
      <c r="BM566" s="158"/>
      <c r="BN566" s="158"/>
      <c r="BO566" s="158"/>
      <c r="BP566" s="158"/>
      <c r="BQ566" s="158"/>
      <c r="BR566" s="158"/>
    </row>
    <row r="567">
      <c r="A567" s="158"/>
      <c r="B567" s="210"/>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c r="BF567" s="158"/>
      <c r="BG567" s="158"/>
      <c r="BH567" s="158"/>
      <c r="BI567" s="158"/>
      <c r="BJ567" s="158"/>
      <c r="BK567" s="158"/>
      <c r="BL567" s="158"/>
      <c r="BM567" s="158"/>
      <c r="BN567" s="158"/>
      <c r="BO567" s="158"/>
      <c r="BP567" s="158"/>
      <c r="BQ567" s="158"/>
      <c r="BR567" s="158"/>
    </row>
    <row r="568">
      <c r="A568" s="158"/>
      <c r="B568" s="210"/>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c r="AW568" s="158"/>
      <c r="AX568" s="158"/>
      <c r="AY568" s="158"/>
      <c r="AZ568" s="158"/>
      <c r="BA568" s="158"/>
      <c r="BB568" s="158"/>
      <c r="BC568" s="158"/>
      <c r="BD568" s="158"/>
      <c r="BE568" s="158"/>
      <c r="BF568" s="158"/>
      <c r="BG568" s="158"/>
      <c r="BH568" s="158"/>
      <c r="BI568" s="158"/>
      <c r="BJ568" s="158"/>
      <c r="BK568" s="158"/>
      <c r="BL568" s="158"/>
      <c r="BM568" s="158"/>
      <c r="BN568" s="158"/>
      <c r="BO568" s="158"/>
      <c r="BP568" s="158"/>
      <c r="BQ568" s="158"/>
      <c r="BR568" s="158"/>
    </row>
    <row r="569">
      <c r="A569" s="158"/>
      <c r="B569" s="210"/>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c r="AW569" s="158"/>
      <c r="AX569" s="158"/>
      <c r="AY569" s="158"/>
      <c r="AZ569" s="158"/>
      <c r="BA569" s="158"/>
      <c r="BB569" s="158"/>
      <c r="BC569" s="158"/>
      <c r="BD569" s="158"/>
      <c r="BE569" s="158"/>
      <c r="BF569" s="158"/>
      <c r="BG569" s="158"/>
      <c r="BH569" s="158"/>
      <c r="BI569" s="158"/>
      <c r="BJ569" s="158"/>
      <c r="BK569" s="158"/>
      <c r="BL569" s="158"/>
      <c r="BM569" s="158"/>
      <c r="BN569" s="158"/>
      <c r="BO569" s="158"/>
      <c r="BP569" s="158"/>
      <c r="BQ569" s="158"/>
      <c r="BR569" s="158"/>
    </row>
    <row r="570">
      <c r="A570" s="158"/>
      <c r="B570" s="210"/>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c r="AW570" s="158"/>
      <c r="AX570" s="158"/>
      <c r="AY570" s="158"/>
      <c r="AZ570" s="158"/>
      <c r="BA570" s="158"/>
      <c r="BB570" s="158"/>
      <c r="BC570" s="158"/>
      <c r="BD570" s="158"/>
      <c r="BE570" s="158"/>
      <c r="BF570" s="158"/>
      <c r="BG570" s="158"/>
      <c r="BH570" s="158"/>
      <c r="BI570" s="158"/>
      <c r="BJ570" s="158"/>
      <c r="BK570" s="158"/>
      <c r="BL570" s="158"/>
      <c r="BM570" s="158"/>
      <c r="BN570" s="158"/>
      <c r="BO570" s="158"/>
      <c r="BP570" s="158"/>
      <c r="BQ570" s="158"/>
      <c r="BR570" s="158"/>
    </row>
    <row r="571">
      <c r="A571" s="158"/>
      <c r="B571" s="210"/>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c r="AW571" s="158"/>
      <c r="AX571" s="158"/>
      <c r="AY571" s="158"/>
      <c r="AZ571" s="158"/>
      <c r="BA571" s="158"/>
      <c r="BB571" s="158"/>
      <c r="BC571" s="158"/>
      <c r="BD571" s="158"/>
      <c r="BE571" s="158"/>
      <c r="BF571" s="158"/>
      <c r="BG571" s="158"/>
      <c r="BH571" s="158"/>
      <c r="BI571" s="158"/>
      <c r="BJ571" s="158"/>
      <c r="BK571" s="158"/>
      <c r="BL571" s="158"/>
      <c r="BM571" s="158"/>
      <c r="BN571" s="158"/>
      <c r="BO571" s="158"/>
      <c r="BP571" s="158"/>
      <c r="BQ571" s="158"/>
      <c r="BR571" s="158"/>
    </row>
    <row r="572">
      <c r="A572" s="158"/>
      <c r="B572" s="210"/>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c r="BF572" s="158"/>
      <c r="BG572" s="158"/>
      <c r="BH572" s="158"/>
      <c r="BI572" s="158"/>
      <c r="BJ572" s="158"/>
      <c r="BK572" s="158"/>
      <c r="BL572" s="158"/>
      <c r="BM572" s="158"/>
      <c r="BN572" s="158"/>
      <c r="BO572" s="158"/>
      <c r="BP572" s="158"/>
      <c r="BQ572" s="158"/>
      <c r="BR572" s="158"/>
    </row>
    <row r="573">
      <c r="A573" s="158"/>
      <c r="B573" s="210"/>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c r="BF573" s="158"/>
      <c r="BG573" s="158"/>
      <c r="BH573" s="158"/>
      <c r="BI573" s="158"/>
      <c r="BJ573" s="158"/>
      <c r="BK573" s="158"/>
      <c r="BL573" s="158"/>
      <c r="BM573" s="158"/>
      <c r="BN573" s="158"/>
      <c r="BO573" s="158"/>
      <c r="BP573" s="158"/>
      <c r="BQ573" s="158"/>
      <c r="BR573" s="158"/>
    </row>
    <row r="574">
      <c r="A574" s="158"/>
      <c r="B574" s="210"/>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c r="BF574" s="158"/>
      <c r="BG574" s="158"/>
      <c r="BH574" s="158"/>
      <c r="BI574" s="158"/>
      <c r="BJ574" s="158"/>
      <c r="BK574" s="158"/>
      <c r="BL574" s="158"/>
      <c r="BM574" s="158"/>
      <c r="BN574" s="158"/>
      <c r="BO574" s="158"/>
      <c r="BP574" s="158"/>
      <c r="BQ574" s="158"/>
      <c r="BR574" s="158"/>
    </row>
    <row r="575">
      <c r="A575" s="158"/>
      <c r="B575" s="210"/>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c r="BF575" s="158"/>
      <c r="BG575" s="158"/>
      <c r="BH575" s="158"/>
      <c r="BI575" s="158"/>
      <c r="BJ575" s="158"/>
      <c r="BK575" s="158"/>
      <c r="BL575" s="158"/>
      <c r="BM575" s="158"/>
      <c r="BN575" s="158"/>
      <c r="BO575" s="158"/>
      <c r="BP575" s="158"/>
      <c r="BQ575" s="158"/>
      <c r="BR575" s="158"/>
    </row>
    <row r="576">
      <c r="A576" s="158"/>
      <c r="B576" s="210"/>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c r="BF576" s="158"/>
      <c r="BG576" s="158"/>
      <c r="BH576" s="158"/>
      <c r="BI576" s="158"/>
      <c r="BJ576" s="158"/>
      <c r="BK576" s="158"/>
      <c r="BL576" s="158"/>
      <c r="BM576" s="158"/>
      <c r="BN576" s="158"/>
      <c r="BO576" s="158"/>
      <c r="BP576" s="158"/>
      <c r="BQ576" s="158"/>
      <c r="BR576" s="158"/>
    </row>
    <row r="577">
      <c r="A577" s="158"/>
      <c r="B577" s="210"/>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c r="BF577" s="158"/>
      <c r="BG577" s="158"/>
      <c r="BH577" s="158"/>
      <c r="BI577" s="158"/>
      <c r="BJ577" s="158"/>
      <c r="BK577" s="158"/>
      <c r="BL577" s="158"/>
      <c r="BM577" s="158"/>
      <c r="BN577" s="158"/>
      <c r="BO577" s="158"/>
      <c r="BP577" s="158"/>
      <c r="BQ577" s="158"/>
      <c r="BR577" s="158"/>
    </row>
    <row r="578">
      <c r="A578" s="158"/>
      <c r="B578" s="210"/>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c r="BF578" s="158"/>
      <c r="BG578" s="158"/>
      <c r="BH578" s="158"/>
      <c r="BI578" s="158"/>
      <c r="BJ578" s="158"/>
      <c r="BK578" s="158"/>
      <c r="BL578" s="158"/>
      <c r="BM578" s="158"/>
      <c r="BN578" s="158"/>
      <c r="BO578" s="158"/>
      <c r="BP578" s="158"/>
      <c r="BQ578" s="158"/>
      <c r="BR578" s="158"/>
    </row>
    <row r="579">
      <c r="A579" s="158"/>
      <c r="B579" s="210"/>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c r="BF579" s="158"/>
      <c r="BG579" s="158"/>
      <c r="BH579" s="158"/>
      <c r="BI579" s="158"/>
      <c r="BJ579" s="158"/>
      <c r="BK579" s="158"/>
      <c r="BL579" s="158"/>
      <c r="BM579" s="158"/>
      <c r="BN579" s="158"/>
      <c r="BO579" s="158"/>
      <c r="BP579" s="158"/>
      <c r="BQ579" s="158"/>
      <c r="BR579" s="158"/>
    </row>
    <row r="580">
      <c r="A580" s="158"/>
      <c r="B580" s="210"/>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c r="BF580" s="158"/>
      <c r="BG580" s="158"/>
      <c r="BH580" s="158"/>
      <c r="BI580" s="158"/>
      <c r="BJ580" s="158"/>
      <c r="BK580" s="158"/>
      <c r="BL580" s="158"/>
      <c r="BM580" s="158"/>
      <c r="BN580" s="158"/>
      <c r="BO580" s="158"/>
      <c r="BP580" s="158"/>
      <c r="BQ580" s="158"/>
      <c r="BR580" s="158"/>
    </row>
    <row r="581">
      <c r="A581" s="158"/>
      <c r="B581" s="210"/>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c r="BF581" s="158"/>
      <c r="BG581" s="158"/>
      <c r="BH581" s="158"/>
      <c r="BI581" s="158"/>
      <c r="BJ581" s="158"/>
      <c r="BK581" s="158"/>
      <c r="BL581" s="158"/>
      <c r="BM581" s="158"/>
      <c r="BN581" s="158"/>
      <c r="BO581" s="158"/>
      <c r="BP581" s="158"/>
      <c r="BQ581" s="158"/>
      <c r="BR581" s="158"/>
    </row>
    <row r="582">
      <c r="A582" s="158"/>
      <c r="B582" s="210"/>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c r="AW582" s="158"/>
      <c r="AX582" s="158"/>
      <c r="AY582" s="158"/>
      <c r="AZ582" s="158"/>
      <c r="BA582" s="158"/>
      <c r="BB582" s="158"/>
      <c r="BC582" s="158"/>
      <c r="BD582" s="158"/>
      <c r="BE582" s="158"/>
      <c r="BF582" s="158"/>
      <c r="BG582" s="158"/>
      <c r="BH582" s="158"/>
      <c r="BI582" s="158"/>
      <c r="BJ582" s="158"/>
      <c r="BK582" s="158"/>
      <c r="BL582" s="158"/>
      <c r="BM582" s="158"/>
      <c r="BN582" s="158"/>
      <c r="BO582" s="158"/>
      <c r="BP582" s="158"/>
      <c r="BQ582" s="158"/>
      <c r="BR582" s="158"/>
    </row>
    <row r="583">
      <c r="A583" s="158"/>
      <c r="B583" s="210"/>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c r="AY583" s="158"/>
      <c r="AZ583" s="158"/>
      <c r="BA583" s="158"/>
      <c r="BB583" s="158"/>
      <c r="BC583" s="158"/>
      <c r="BD583" s="158"/>
      <c r="BE583" s="158"/>
      <c r="BF583" s="158"/>
      <c r="BG583" s="158"/>
      <c r="BH583" s="158"/>
      <c r="BI583" s="158"/>
      <c r="BJ583" s="158"/>
      <c r="BK583" s="158"/>
      <c r="BL583" s="158"/>
      <c r="BM583" s="158"/>
      <c r="BN583" s="158"/>
      <c r="BO583" s="158"/>
      <c r="BP583" s="158"/>
      <c r="BQ583" s="158"/>
      <c r="BR583" s="158"/>
    </row>
    <row r="584">
      <c r="A584" s="158"/>
      <c r="B584" s="210"/>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c r="BF584" s="158"/>
      <c r="BG584" s="158"/>
      <c r="BH584" s="158"/>
      <c r="BI584" s="158"/>
      <c r="BJ584" s="158"/>
      <c r="BK584" s="158"/>
      <c r="BL584" s="158"/>
      <c r="BM584" s="158"/>
      <c r="BN584" s="158"/>
      <c r="BO584" s="158"/>
      <c r="BP584" s="158"/>
      <c r="BQ584" s="158"/>
      <c r="BR584" s="158"/>
    </row>
    <row r="585">
      <c r="A585" s="158"/>
      <c r="B585" s="210"/>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c r="BF585" s="158"/>
      <c r="BG585" s="158"/>
      <c r="BH585" s="158"/>
      <c r="BI585" s="158"/>
      <c r="BJ585" s="158"/>
      <c r="BK585" s="158"/>
      <c r="BL585" s="158"/>
      <c r="BM585" s="158"/>
      <c r="BN585" s="158"/>
      <c r="BO585" s="158"/>
      <c r="BP585" s="158"/>
      <c r="BQ585" s="158"/>
      <c r="BR585" s="158"/>
    </row>
    <row r="586">
      <c r="A586" s="158"/>
      <c r="B586" s="210"/>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c r="BF586" s="158"/>
      <c r="BG586" s="158"/>
      <c r="BH586" s="158"/>
      <c r="BI586" s="158"/>
      <c r="BJ586" s="158"/>
      <c r="BK586" s="158"/>
      <c r="BL586" s="158"/>
      <c r="BM586" s="158"/>
      <c r="BN586" s="158"/>
      <c r="BO586" s="158"/>
      <c r="BP586" s="158"/>
      <c r="BQ586" s="158"/>
      <c r="BR586" s="158"/>
    </row>
    <row r="587">
      <c r="A587" s="158"/>
      <c r="B587" s="210"/>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c r="AW587" s="158"/>
      <c r="AX587" s="158"/>
      <c r="AY587" s="158"/>
      <c r="AZ587" s="158"/>
      <c r="BA587" s="158"/>
      <c r="BB587" s="158"/>
      <c r="BC587" s="158"/>
      <c r="BD587" s="158"/>
      <c r="BE587" s="158"/>
      <c r="BF587" s="158"/>
      <c r="BG587" s="158"/>
      <c r="BH587" s="158"/>
      <c r="BI587" s="158"/>
      <c r="BJ587" s="158"/>
      <c r="BK587" s="158"/>
      <c r="BL587" s="158"/>
      <c r="BM587" s="158"/>
      <c r="BN587" s="158"/>
      <c r="BO587" s="158"/>
      <c r="BP587" s="158"/>
      <c r="BQ587" s="158"/>
      <c r="BR587" s="158"/>
    </row>
    <row r="588">
      <c r="A588" s="158"/>
      <c r="B588" s="210"/>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c r="AW588" s="158"/>
      <c r="AX588" s="158"/>
      <c r="AY588" s="158"/>
      <c r="AZ588" s="158"/>
      <c r="BA588" s="158"/>
      <c r="BB588" s="158"/>
      <c r="BC588" s="158"/>
      <c r="BD588" s="158"/>
      <c r="BE588" s="158"/>
      <c r="BF588" s="158"/>
      <c r="BG588" s="158"/>
      <c r="BH588" s="158"/>
      <c r="BI588" s="158"/>
      <c r="BJ588" s="158"/>
      <c r="BK588" s="158"/>
      <c r="BL588" s="158"/>
      <c r="BM588" s="158"/>
      <c r="BN588" s="158"/>
      <c r="BO588" s="158"/>
      <c r="BP588" s="158"/>
      <c r="BQ588" s="158"/>
      <c r="BR588" s="158"/>
    </row>
    <row r="589">
      <c r="A589" s="158"/>
      <c r="B589" s="210"/>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c r="BF589" s="158"/>
      <c r="BG589" s="158"/>
      <c r="BH589" s="158"/>
      <c r="BI589" s="158"/>
      <c r="BJ589" s="158"/>
      <c r="BK589" s="158"/>
      <c r="BL589" s="158"/>
      <c r="BM589" s="158"/>
      <c r="BN589" s="158"/>
      <c r="BO589" s="158"/>
      <c r="BP589" s="158"/>
      <c r="BQ589" s="158"/>
      <c r="BR589" s="158"/>
    </row>
    <row r="590">
      <c r="A590" s="158"/>
      <c r="B590" s="210"/>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c r="BF590" s="158"/>
      <c r="BG590" s="158"/>
      <c r="BH590" s="158"/>
      <c r="BI590" s="158"/>
      <c r="BJ590" s="158"/>
      <c r="BK590" s="158"/>
      <c r="BL590" s="158"/>
      <c r="BM590" s="158"/>
      <c r="BN590" s="158"/>
      <c r="BO590" s="158"/>
      <c r="BP590" s="158"/>
      <c r="BQ590" s="158"/>
      <c r="BR590" s="158"/>
    </row>
    <row r="591">
      <c r="A591" s="158"/>
      <c r="B591" s="210"/>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c r="BF591" s="158"/>
      <c r="BG591" s="158"/>
      <c r="BH591" s="158"/>
      <c r="BI591" s="158"/>
      <c r="BJ591" s="158"/>
      <c r="BK591" s="158"/>
      <c r="BL591" s="158"/>
      <c r="BM591" s="158"/>
      <c r="BN591" s="158"/>
      <c r="BO591" s="158"/>
      <c r="BP591" s="158"/>
      <c r="BQ591" s="158"/>
      <c r="BR591" s="158"/>
    </row>
    <row r="592">
      <c r="A592" s="158"/>
      <c r="B592" s="210"/>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c r="AW592" s="158"/>
      <c r="AX592" s="158"/>
      <c r="AY592" s="158"/>
      <c r="AZ592" s="158"/>
      <c r="BA592" s="158"/>
      <c r="BB592" s="158"/>
      <c r="BC592" s="158"/>
      <c r="BD592" s="158"/>
      <c r="BE592" s="158"/>
      <c r="BF592" s="158"/>
      <c r="BG592" s="158"/>
      <c r="BH592" s="158"/>
      <c r="BI592" s="158"/>
      <c r="BJ592" s="158"/>
      <c r="BK592" s="158"/>
      <c r="BL592" s="158"/>
      <c r="BM592" s="158"/>
      <c r="BN592" s="158"/>
      <c r="BO592" s="158"/>
      <c r="BP592" s="158"/>
      <c r="BQ592" s="158"/>
      <c r="BR592" s="158"/>
    </row>
    <row r="593">
      <c r="A593" s="158"/>
      <c r="B593" s="210"/>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c r="BF593" s="158"/>
      <c r="BG593" s="158"/>
      <c r="BH593" s="158"/>
      <c r="BI593" s="158"/>
      <c r="BJ593" s="158"/>
      <c r="BK593" s="158"/>
      <c r="BL593" s="158"/>
      <c r="BM593" s="158"/>
      <c r="BN593" s="158"/>
      <c r="BO593" s="158"/>
      <c r="BP593" s="158"/>
      <c r="BQ593" s="158"/>
      <c r="BR593" s="158"/>
    </row>
    <row r="594">
      <c r="A594" s="158"/>
      <c r="B594" s="210"/>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c r="AW594" s="158"/>
      <c r="AX594" s="158"/>
      <c r="AY594" s="158"/>
      <c r="AZ594" s="158"/>
      <c r="BA594" s="158"/>
      <c r="BB594" s="158"/>
      <c r="BC594" s="158"/>
      <c r="BD594" s="158"/>
      <c r="BE594" s="158"/>
      <c r="BF594" s="158"/>
      <c r="BG594" s="158"/>
      <c r="BH594" s="158"/>
      <c r="BI594" s="158"/>
      <c r="BJ594" s="158"/>
      <c r="BK594" s="158"/>
      <c r="BL594" s="158"/>
      <c r="BM594" s="158"/>
      <c r="BN594" s="158"/>
      <c r="BO594" s="158"/>
      <c r="BP594" s="158"/>
      <c r="BQ594" s="158"/>
      <c r="BR594" s="158"/>
    </row>
    <row r="595">
      <c r="A595" s="158"/>
      <c r="B595" s="210"/>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c r="AW595" s="158"/>
      <c r="AX595" s="158"/>
      <c r="AY595" s="158"/>
      <c r="AZ595" s="158"/>
      <c r="BA595" s="158"/>
      <c r="BB595" s="158"/>
      <c r="BC595" s="158"/>
      <c r="BD595" s="158"/>
      <c r="BE595" s="158"/>
      <c r="BF595" s="158"/>
      <c r="BG595" s="158"/>
      <c r="BH595" s="158"/>
      <c r="BI595" s="158"/>
      <c r="BJ595" s="158"/>
      <c r="BK595" s="158"/>
      <c r="BL595" s="158"/>
      <c r="BM595" s="158"/>
      <c r="BN595" s="158"/>
      <c r="BO595" s="158"/>
      <c r="BP595" s="158"/>
      <c r="BQ595" s="158"/>
      <c r="BR595" s="158"/>
    </row>
    <row r="596">
      <c r="A596" s="158"/>
      <c r="B596" s="210"/>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c r="BF596" s="158"/>
      <c r="BG596" s="158"/>
      <c r="BH596" s="158"/>
      <c r="BI596" s="158"/>
      <c r="BJ596" s="158"/>
      <c r="BK596" s="158"/>
      <c r="BL596" s="158"/>
      <c r="BM596" s="158"/>
      <c r="BN596" s="158"/>
      <c r="BO596" s="158"/>
      <c r="BP596" s="158"/>
      <c r="BQ596" s="158"/>
      <c r="BR596" s="158"/>
    </row>
    <row r="597">
      <c r="A597" s="158"/>
      <c r="B597" s="210"/>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c r="BF597" s="158"/>
      <c r="BG597" s="158"/>
      <c r="BH597" s="158"/>
      <c r="BI597" s="158"/>
      <c r="BJ597" s="158"/>
      <c r="BK597" s="158"/>
      <c r="BL597" s="158"/>
      <c r="BM597" s="158"/>
      <c r="BN597" s="158"/>
      <c r="BO597" s="158"/>
      <c r="BP597" s="158"/>
      <c r="BQ597" s="158"/>
      <c r="BR597" s="158"/>
    </row>
    <row r="598">
      <c r="A598" s="158"/>
      <c r="B598" s="210"/>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row>
    <row r="599">
      <c r="A599" s="158"/>
      <c r="B599" s="210"/>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c r="BF599" s="158"/>
      <c r="BG599" s="158"/>
      <c r="BH599" s="158"/>
      <c r="BI599" s="158"/>
      <c r="BJ599" s="158"/>
      <c r="BK599" s="158"/>
      <c r="BL599" s="158"/>
      <c r="BM599" s="158"/>
      <c r="BN599" s="158"/>
      <c r="BO599" s="158"/>
      <c r="BP599" s="158"/>
      <c r="BQ599" s="158"/>
      <c r="BR599" s="158"/>
    </row>
    <row r="600">
      <c r="A600" s="158"/>
      <c r="B600" s="210"/>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c r="AW600" s="158"/>
      <c r="AX600" s="158"/>
      <c r="AY600" s="158"/>
      <c r="AZ600" s="158"/>
      <c r="BA600" s="158"/>
      <c r="BB600" s="158"/>
      <c r="BC600" s="158"/>
      <c r="BD600" s="158"/>
      <c r="BE600" s="158"/>
      <c r="BF600" s="158"/>
      <c r="BG600" s="158"/>
      <c r="BH600" s="158"/>
      <c r="BI600" s="158"/>
      <c r="BJ600" s="158"/>
      <c r="BK600" s="158"/>
      <c r="BL600" s="158"/>
      <c r="BM600" s="158"/>
      <c r="BN600" s="158"/>
      <c r="BO600" s="158"/>
      <c r="BP600" s="158"/>
      <c r="BQ600" s="158"/>
      <c r="BR600" s="158"/>
    </row>
    <row r="601">
      <c r="A601" s="158"/>
      <c r="B601" s="210"/>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c r="AW601" s="158"/>
      <c r="AX601" s="158"/>
      <c r="AY601" s="158"/>
      <c r="AZ601" s="158"/>
      <c r="BA601" s="158"/>
      <c r="BB601" s="158"/>
      <c r="BC601" s="158"/>
      <c r="BD601" s="158"/>
      <c r="BE601" s="158"/>
      <c r="BF601" s="158"/>
      <c r="BG601" s="158"/>
      <c r="BH601" s="158"/>
      <c r="BI601" s="158"/>
      <c r="BJ601" s="158"/>
      <c r="BK601" s="158"/>
      <c r="BL601" s="158"/>
      <c r="BM601" s="158"/>
      <c r="BN601" s="158"/>
      <c r="BO601" s="158"/>
      <c r="BP601" s="158"/>
      <c r="BQ601" s="158"/>
      <c r="BR601" s="158"/>
    </row>
    <row r="602">
      <c r="A602" s="158"/>
      <c r="B602" s="210"/>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c r="BF602" s="158"/>
      <c r="BG602" s="158"/>
      <c r="BH602" s="158"/>
      <c r="BI602" s="158"/>
      <c r="BJ602" s="158"/>
      <c r="BK602" s="158"/>
      <c r="BL602" s="158"/>
      <c r="BM602" s="158"/>
      <c r="BN602" s="158"/>
      <c r="BO602" s="158"/>
      <c r="BP602" s="158"/>
      <c r="BQ602" s="158"/>
      <c r="BR602" s="158"/>
    </row>
    <row r="603">
      <c r="A603" s="158"/>
      <c r="B603" s="210"/>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c r="BF603" s="158"/>
      <c r="BG603" s="158"/>
      <c r="BH603" s="158"/>
      <c r="BI603" s="158"/>
      <c r="BJ603" s="158"/>
      <c r="BK603" s="158"/>
      <c r="BL603" s="158"/>
      <c r="BM603" s="158"/>
      <c r="BN603" s="158"/>
      <c r="BO603" s="158"/>
      <c r="BP603" s="158"/>
      <c r="BQ603" s="158"/>
      <c r="BR603" s="158"/>
    </row>
    <row r="604">
      <c r="A604" s="158"/>
      <c r="B604" s="210"/>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c r="BF604" s="158"/>
      <c r="BG604" s="158"/>
      <c r="BH604" s="158"/>
      <c r="BI604" s="158"/>
      <c r="BJ604" s="158"/>
      <c r="BK604" s="158"/>
      <c r="BL604" s="158"/>
      <c r="BM604" s="158"/>
      <c r="BN604" s="158"/>
      <c r="BO604" s="158"/>
      <c r="BP604" s="158"/>
      <c r="BQ604" s="158"/>
      <c r="BR604" s="158"/>
    </row>
    <row r="605">
      <c r="A605" s="158"/>
      <c r="B605" s="210"/>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c r="BF605" s="158"/>
      <c r="BG605" s="158"/>
      <c r="BH605" s="158"/>
      <c r="BI605" s="158"/>
      <c r="BJ605" s="158"/>
      <c r="BK605" s="158"/>
      <c r="BL605" s="158"/>
      <c r="BM605" s="158"/>
      <c r="BN605" s="158"/>
      <c r="BO605" s="158"/>
      <c r="BP605" s="158"/>
      <c r="BQ605" s="158"/>
      <c r="BR605" s="158"/>
    </row>
    <row r="606">
      <c r="A606" s="158"/>
      <c r="B606" s="210"/>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c r="BF606" s="158"/>
      <c r="BG606" s="158"/>
      <c r="BH606" s="158"/>
      <c r="BI606" s="158"/>
      <c r="BJ606" s="158"/>
      <c r="BK606" s="158"/>
      <c r="BL606" s="158"/>
      <c r="BM606" s="158"/>
      <c r="BN606" s="158"/>
      <c r="BO606" s="158"/>
      <c r="BP606" s="158"/>
      <c r="BQ606" s="158"/>
      <c r="BR606" s="158"/>
    </row>
    <row r="607">
      <c r="A607" s="158"/>
      <c r="B607" s="210"/>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c r="BF607" s="158"/>
      <c r="BG607" s="158"/>
      <c r="BH607" s="158"/>
      <c r="BI607" s="158"/>
      <c r="BJ607" s="158"/>
      <c r="BK607" s="158"/>
      <c r="BL607" s="158"/>
      <c r="BM607" s="158"/>
      <c r="BN607" s="158"/>
      <c r="BO607" s="158"/>
      <c r="BP607" s="158"/>
      <c r="BQ607" s="158"/>
      <c r="BR607" s="158"/>
    </row>
    <row r="608">
      <c r="A608" s="158"/>
      <c r="B608" s="210"/>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c r="AW608" s="158"/>
      <c r="AX608" s="158"/>
      <c r="AY608" s="158"/>
      <c r="AZ608" s="158"/>
      <c r="BA608" s="158"/>
      <c r="BB608" s="158"/>
      <c r="BC608" s="158"/>
      <c r="BD608" s="158"/>
      <c r="BE608" s="158"/>
      <c r="BF608" s="158"/>
      <c r="BG608" s="158"/>
      <c r="BH608" s="158"/>
      <c r="BI608" s="158"/>
      <c r="BJ608" s="158"/>
      <c r="BK608" s="158"/>
      <c r="BL608" s="158"/>
      <c r="BM608" s="158"/>
      <c r="BN608" s="158"/>
      <c r="BO608" s="158"/>
      <c r="BP608" s="158"/>
      <c r="BQ608" s="158"/>
      <c r="BR608" s="158"/>
    </row>
    <row r="609">
      <c r="A609" s="158"/>
      <c r="B609" s="210"/>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c r="BF609" s="158"/>
      <c r="BG609" s="158"/>
      <c r="BH609" s="158"/>
      <c r="BI609" s="158"/>
      <c r="BJ609" s="158"/>
      <c r="BK609" s="158"/>
      <c r="BL609" s="158"/>
      <c r="BM609" s="158"/>
      <c r="BN609" s="158"/>
      <c r="BO609" s="158"/>
      <c r="BP609" s="158"/>
      <c r="BQ609" s="158"/>
      <c r="BR609" s="158"/>
    </row>
    <row r="610">
      <c r="A610" s="158"/>
      <c r="B610" s="210"/>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c r="BF610" s="158"/>
      <c r="BG610" s="158"/>
      <c r="BH610" s="158"/>
      <c r="BI610" s="158"/>
      <c r="BJ610" s="158"/>
      <c r="BK610" s="158"/>
      <c r="BL610" s="158"/>
      <c r="BM610" s="158"/>
      <c r="BN610" s="158"/>
      <c r="BO610" s="158"/>
      <c r="BP610" s="158"/>
      <c r="BQ610" s="158"/>
      <c r="BR610" s="158"/>
    </row>
    <row r="611">
      <c r="A611" s="158"/>
      <c r="B611" s="210"/>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c r="AW611" s="158"/>
      <c r="AX611" s="158"/>
      <c r="AY611" s="158"/>
      <c r="AZ611" s="158"/>
      <c r="BA611" s="158"/>
      <c r="BB611" s="158"/>
      <c r="BC611" s="158"/>
      <c r="BD611" s="158"/>
      <c r="BE611" s="158"/>
      <c r="BF611" s="158"/>
      <c r="BG611" s="158"/>
      <c r="BH611" s="158"/>
      <c r="BI611" s="158"/>
      <c r="BJ611" s="158"/>
      <c r="BK611" s="158"/>
      <c r="BL611" s="158"/>
      <c r="BM611" s="158"/>
      <c r="BN611" s="158"/>
      <c r="BO611" s="158"/>
      <c r="BP611" s="158"/>
      <c r="BQ611" s="158"/>
      <c r="BR611" s="158"/>
    </row>
    <row r="612">
      <c r="A612" s="158"/>
      <c r="B612" s="210"/>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c r="AW612" s="158"/>
      <c r="AX612" s="158"/>
      <c r="AY612" s="158"/>
      <c r="AZ612" s="158"/>
      <c r="BA612" s="158"/>
      <c r="BB612" s="158"/>
      <c r="BC612" s="158"/>
      <c r="BD612" s="158"/>
      <c r="BE612" s="158"/>
      <c r="BF612" s="158"/>
      <c r="BG612" s="158"/>
      <c r="BH612" s="158"/>
      <c r="BI612" s="158"/>
      <c r="BJ612" s="158"/>
      <c r="BK612" s="158"/>
      <c r="BL612" s="158"/>
      <c r="BM612" s="158"/>
      <c r="BN612" s="158"/>
      <c r="BO612" s="158"/>
      <c r="BP612" s="158"/>
      <c r="BQ612" s="158"/>
      <c r="BR612" s="158"/>
    </row>
    <row r="613">
      <c r="A613" s="158"/>
      <c r="B613" s="210"/>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c r="AW613" s="158"/>
      <c r="AX613" s="158"/>
      <c r="AY613" s="158"/>
      <c r="AZ613" s="158"/>
      <c r="BA613" s="158"/>
      <c r="BB613" s="158"/>
      <c r="BC613" s="158"/>
      <c r="BD613" s="158"/>
      <c r="BE613" s="158"/>
      <c r="BF613" s="158"/>
      <c r="BG613" s="158"/>
      <c r="BH613" s="158"/>
      <c r="BI613" s="158"/>
      <c r="BJ613" s="158"/>
      <c r="BK613" s="158"/>
      <c r="BL613" s="158"/>
      <c r="BM613" s="158"/>
      <c r="BN613" s="158"/>
      <c r="BO613" s="158"/>
      <c r="BP613" s="158"/>
      <c r="BQ613" s="158"/>
      <c r="BR613" s="158"/>
    </row>
    <row r="614">
      <c r="A614" s="158"/>
      <c r="B614" s="210"/>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c r="AW614" s="158"/>
      <c r="AX614" s="158"/>
      <c r="AY614" s="158"/>
      <c r="AZ614" s="158"/>
      <c r="BA614" s="158"/>
      <c r="BB614" s="158"/>
      <c r="BC614" s="158"/>
      <c r="BD614" s="158"/>
      <c r="BE614" s="158"/>
      <c r="BF614" s="158"/>
      <c r="BG614" s="158"/>
      <c r="BH614" s="158"/>
      <c r="BI614" s="158"/>
      <c r="BJ614" s="158"/>
      <c r="BK614" s="158"/>
      <c r="BL614" s="158"/>
      <c r="BM614" s="158"/>
      <c r="BN614" s="158"/>
      <c r="BO614" s="158"/>
      <c r="BP614" s="158"/>
      <c r="BQ614" s="158"/>
      <c r="BR614" s="158"/>
    </row>
    <row r="615">
      <c r="A615" s="158"/>
      <c r="B615" s="210"/>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c r="AW615" s="158"/>
      <c r="AX615" s="158"/>
      <c r="AY615" s="158"/>
      <c r="AZ615" s="158"/>
      <c r="BA615" s="158"/>
      <c r="BB615" s="158"/>
      <c r="BC615" s="158"/>
      <c r="BD615" s="158"/>
      <c r="BE615" s="158"/>
      <c r="BF615" s="158"/>
      <c r="BG615" s="158"/>
      <c r="BH615" s="158"/>
      <c r="BI615" s="158"/>
      <c r="BJ615" s="158"/>
      <c r="BK615" s="158"/>
      <c r="BL615" s="158"/>
      <c r="BM615" s="158"/>
      <c r="BN615" s="158"/>
      <c r="BO615" s="158"/>
      <c r="BP615" s="158"/>
      <c r="BQ615" s="158"/>
      <c r="BR615" s="158"/>
    </row>
    <row r="616">
      <c r="A616" s="158"/>
      <c r="B616" s="210"/>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c r="BF616" s="158"/>
      <c r="BG616" s="158"/>
      <c r="BH616" s="158"/>
      <c r="BI616" s="158"/>
      <c r="BJ616" s="158"/>
      <c r="BK616" s="158"/>
      <c r="BL616" s="158"/>
      <c r="BM616" s="158"/>
      <c r="BN616" s="158"/>
      <c r="BO616" s="158"/>
      <c r="BP616" s="158"/>
      <c r="BQ616" s="158"/>
      <c r="BR616" s="158"/>
    </row>
    <row r="617">
      <c r="A617" s="158"/>
      <c r="B617" s="210"/>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c r="BF617" s="158"/>
      <c r="BG617" s="158"/>
      <c r="BH617" s="158"/>
      <c r="BI617" s="158"/>
      <c r="BJ617" s="158"/>
      <c r="BK617" s="158"/>
      <c r="BL617" s="158"/>
      <c r="BM617" s="158"/>
      <c r="BN617" s="158"/>
      <c r="BO617" s="158"/>
      <c r="BP617" s="158"/>
      <c r="BQ617" s="158"/>
      <c r="BR617" s="158"/>
    </row>
    <row r="618">
      <c r="A618" s="158"/>
      <c r="B618" s="210"/>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c r="BF618" s="158"/>
      <c r="BG618" s="158"/>
      <c r="BH618" s="158"/>
      <c r="BI618" s="158"/>
      <c r="BJ618" s="158"/>
      <c r="BK618" s="158"/>
      <c r="BL618" s="158"/>
      <c r="BM618" s="158"/>
      <c r="BN618" s="158"/>
      <c r="BO618" s="158"/>
      <c r="BP618" s="158"/>
      <c r="BQ618" s="158"/>
      <c r="BR618" s="158"/>
    </row>
    <row r="619">
      <c r="A619" s="158"/>
      <c r="B619" s="210"/>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c r="BF619" s="158"/>
      <c r="BG619" s="158"/>
      <c r="BH619" s="158"/>
      <c r="BI619" s="158"/>
      <c r="BJ619" s="158"/>
      <c r="BK619" s="158"/>
      <c r="BL619" s="158"/>
      <c r="BM619" s="158"/>
      <c r="BN619" s="158"/>
      <c r="BO619" s="158"/>
      <c r="BP619" s="158"/>
      <c r="BQ619" s="158"/>
      <c r="BR619" s="158"/>
    </row>
    <row r="620">
      <c r="A620" s="158"/>
      <c r="B620" s="210"/>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c r="BF620" s="158"/>
      <c r="BG620" s="158"/>
      <c r="BH620" s="158"/>
      <c r="BI620" s="158"/>
      <c r="BJ620" s="158"/>
      <c r="BK620" s="158"/>
      <c r="BL620" s="158"/>
      <c r="BM620" s="158"/>
      <c r="BN620" s="158"/>
      <c r="BO620" s="158"/>
      <c r="BP620" s="158"/>
      <c r="BQ620" s="158"/>
      <c r="BR620" s="158"/>
    </row>
    <row r="621">
      <c r="A621" s="158"/>
      <c r="B621" s="210"/>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c r="AW621" s="158"/>
      <c r="AX621" s="158"/>
      <c r="AY621" s="158"/>
      <c r="AZ621" s="158"/>
      <c r="BA621" s="158"/>
      <c r="BB621" s="158"/>
      <c r="BC621" s="158"/>
      <c r="BD621" s="158"/>
      <c r="BE621" s="158"/>
      <c r="BF621" s="158"/>
      <c r="BG621" s="158"/>
      <c r="BH621" s="158"/>
      <c r="BI621" s="158"/>
      <c r="BJ621" s="158"/>
      <c r="BK621" s="158"/>
      <c r="BL621" s="158"/>
      <c r="BM621" s="158"/>
      <c r="BN621" s="158"/>
      <c r="BO621" s="158"/>
      <c r="BP621" s="158"/>
      <c r="BQ621" s="158"/>
      <c r="BR621" s="158"/>
    </row>
    <row r="622">
      <c r="A622" s="158"/>
      <c r="B622" s="210"/>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c r="AW622" s="158"/>
      <c r="AX622" s="158"/>
      <c r="AY622" s="158"/>
      <c r="AZ622" s="158"/>
      <c r="BA622" s="158"/>
      <c r="BB622" s="158"/>
      <c r="BC622" s="158"/>
      <c r="BD622" s="158"/>
      <c r="BE622" s="158"/>
      <c r="BF622" s="158"/>
      <c r="BG622" s="158"/>
      <c r="BH622" s="158"/>
      <c r="BI622" s="158"/>
      <c r="BJ622" s="158"/>
      <c r="BK622" s="158"/>
      <c r="BL622" s="158"/>
      <c r="BM622" s="158"/>
      <c r="BN622" s="158"/>
      <c r="BO622" s="158"/>
      <c r="BP622" s="158"/>
      <c r="BQ622" s="158"/>
      <c r="BR622" s="158"/>
    </row>
    <row r="623">
      <c r="A623" s="158"/>
      <c r="B623" s="210"/>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c r="AW623" s="158"/>
      <c r="AX623" s="158"/>
      <c r="AY623" s="158"/>
      <c r="AZ623" s="158"/>
      <c r="BA623" s="158"/>
      <c r="BB623" s="158"/>
      <c r="BC623" s="158"/>
      <c r="BD623" s="158"/>
      <c r="BE623" s="158"/>
      <c r="BF623" s="158"/>
      <c r="BG623" s="158"/>
      <c r="BH623" s="158"/>
      <c r="BI623" s="158"/>
      <c r="BJ623" s="158"/>
      <c r="BK623" s="158"/>
      <c r="BL623" s="158"/>
      <c r="BM623" s="158"/>
      <c r="BN623" s="158"/>
      <c r="BO623" s="158"/>
      <c r="BP623" s="158"/>
      <c r="BQ623" s="158"/>
      <c r="BR623" s="158"/>
    </row>
    <row r="624">
      <c r="A624" s="158"/>
      <c r="B624" s="210"/>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c r="AW624" s="158"/>
      <c r="AX624" s="158"/>
      <c r="AY624" s="158"/>
      <c r="AZ624" s="158"/>
      <c r="BA624" s="158"/>
      <c r="BB624" s="158"/>
      <c r="BC624" s="158"/>
      <c r="BD624" s="158"/>
      <c r="BE624" s="158"/>
      <c r="BF624" s="158"/>
      <c r="BG624" s="158"/>
      <c r="BH624" s="158"/>
      <c r="BI624" s="158"/>
      <c r="BJ624" s="158"/>
      <c r="BK624" s="158"/>
      <c r="BL624" s="158"/>
      <c r="BM624" s="158"/>
      <c r="BN624" s="158"/>
      <c r="BO624" s="158"/>
      <c r="BP624" s="158"/>
      <c r="BQ624" s="158"/>
      <c r="BR624" s="158"/>
    </row>
    <row r="625">
      <c r="A625" s="158"/>
      <c r="B625" s="210"/>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c r="AW625" s="158"/>
      <c r="AX625" s="158"/>
      <c r="AY625" s="158"/>
      <c r="AZ625" s="158"/>
      <c r="BA625" s="158"/>
      <c r="BB625" s="158"/>
      <c r="BC625" s="158"/>
      <c r="BD625" s="158"/>
      <c r="BE625" s="158"/>
      <c r="BF625" s="158"/>
      <c r="BG625" s="158"/>
      <c r="BH625" s="158"/>
      <c r="BI625" s="158"/>
      <c r="BJ625" s="158"/>
      <c r="BK625" s="158"/>
      <c r="BL625" s="158"/>
      <c r="BM625" s="158"/>
      <c r="BN625" s="158"/>
      <c r="BO625" s="158"/>
      <c r="BP625" s="158"/>
      <c r="BQ625" s="158"/>
      <c r="BR625" s="158"/>
    </row>
    <row r="626">
      <c r="A626" s="158"/>
      <c r="B626" s="210"/>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c r="AW626" s="158"/>
      <c r="AX626" s="158"/>
      <c r="AY626" s="158"/>
      <c r="AZ626" s="158"/>
      <c r="BA626" s="158"/>
      <c r="BB626" s="158"/>
      <c r="BC626" s="158"/>
      <c r="BD626" s="158"/>
      <c r="BE626" s="158"/>
      <c r="BF626" s="158"/>
      <c r="BG626" s="158"/>
      <c r="BH626" s="158"/>
      <c r="BI626" s="158"/>
      <c r="BJ626" s="158"/>
      <c r="BK626" s="158"/>
      <c r="BL626" s="158"/>
      <c r="BM626" s="158"/>
      <c r="BN626" s="158"/>
      <c r="BO626" s="158"/>
      <c r="BP626" s="158"/>
      <c r="BQ626" s="158"/>
      <c r="BR626" s="158"/>
    </row>
    <row r="627">
      <c r="A627" s="158"/>
      <c r="B627" s="210"/>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c r="AW627" s="158"/>
      <c r="AX627" s="158"/>
      <c r="AY627" s="158"/>
      <c r="AZ627" s="158"/>
      <c r="BA627" s="158"/>
      <c r="BB627" s="158"/>
      <c r="BC627" s="158"/>
      <c r="BD627" s="158"/>
      <c r="BE627" s="158"/>
      <c r="BF627" s="158"/>
      <c r="BG627" s="158"/>
      <c r="BH627" s="158"/>
      <c r="BI627" s="158"/>
      <c r="BJ627" s="158"/>
      <c r="BK627" s="158"/>
      <c r="BL627" s="158"/>
      <c r="BM627" s="158"/>
      <c r="BN627" s="158"/>
      <c r="BO627" s="158"/>
      <c r="BP627" s="158"/>
      <c r="BQ627" s="158"/>
      <c r="BR627" s="158"/>
    </row>
    <row r="628">
      <c r="A628" s="158"/>
      <c r="B628" s="210"/>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c r="BF628" s="158"/>
      <c r="BG628" s="158"/>
      <c r="BH628" s="158"/>
      <c r="BI628" s="158"/>
      <c r="BJ628" s="158"/>
      <c r="BK628" s="158"/>
      <c r="BL628" s="158"/>
      <c r="BM628" s="158"/>
      <c r="BN628" s="158"/>
      <c r="BO628" s="158"/>
      <c r="BP628" s="158"/>
      <c r="BQ628" s="158"/>
      <c r="BR628" s="158"/>
    </row>
    <row r="629">
      <c r="A629" s="158"/>
      <c r="B629" s="210"/>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c r="BF629" s="158"/>
      <c r="BG629" s="158"/>
      <c r="BH629" s="158"/>
      <c r="BI629" s="158"/>
      <c r="BJ629" s="158"/>
      <c r="BK629" s="158"/>
      <c r="BL629" s="158"/>
      <c r="BM629" s="158"/>
      <c r="BN629" s="158"/>
      <c r="BO629" s="158"/>
      <c r="BP629" s="158"/>
      <c r="BQ629" s="158"/>
      <c r="BR629" s="158"/>
    </row>
    <row r="630">
      <c r="A630" s="158"/>
      <c r="B630" s="210"/>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c r="BF630" s="158"/>
      <c r="BG630" s="158"/>
      <c r="BH630" s="158"/>
      <c r="BI630" s="158"/>
      <c r="BJ630" s="158"/>
      <c r="BK630" s="158"/>
      <c r="BL630" s="158"/>
      <c r="BM630" s="158"/>
      <c r="BN630" s="158"/>
      <c r="BO630" s="158"/>
      <c r="BP630" s="158"/>
      <c r="BQ630" s="158"/>
      <c r="BR630" s="158"/>
    </row>
    <row r="631">
      <c r="A631" s="158"/>
      <c r="B631" s="210"/>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c r="AW631" s="158"/>
      <c r="AX631" s="158"/>
      <c r="AY631" s="158"/>
      <c r="AZ631" s="158"/>
      <c r="BA631" s="158"/>
      <c r="BB631" s="158"/>
      <c r="BC631" s="158"/>
      <c r="BD631" s="158"/>
      <c r="BE631" s="158"/>
      <c r="BF631" s="158"/>
      <c r="BG631" s="158"/>
      <c r="BH631" s="158"/>
      <c r="BI631" s="158"/>
      <c r="BJ631" s="158"/>
      <c r="BK631" s="158"/>
      <c r="BL631" s="158"/>
      <c r="BM631" s="158"/>
      <c r="BN631" s="158"/>
      <c r="BO631" s="158"/>
      <c r="BP631" s="158"/>
      <c r="BQ631" s="158"/>
      <c r="BR631" s="158"/>
    </row>
    <row r="632">
      <c r="A632" s="158"/>
      <c r="B632" s="210"/>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c r="AW632" s="158"/>
      <c r="AX632" s="158"/>
      <c r="AY632" s="158"/>
      <c r="AZ632" s="158"/>
      <c r="BA632" s="158"/>
      <c r="BB632" s="158"/>
      <c r="BC632" s="158"/>
      <c r="BD632" s="158"/>
      <c r="BE632" s="158"/>
      <c r="BF632" s="158"/>
      <c r="BG632" s="158"/>
      <c r="BH632" s="158"/>
      <c r="BI632" s="158"/>
      <c r="BJ632" s="158"/>
      <c r="BK632" s="158"/>
      <c r="BL632" s="158"/>
      <c r="BM632" s="158"/>
      <c r="BN632" s="158"/>
      <c r="BO632" s="158"/>
      <c r="BP632" s="158"/>
      <c r="BQ632" s="158"/>
      <c r="BR632" s="158"/>
    </row>
    <row r="633">
      <c r="A633" s="158"/>
      <c r="B633" s="210"/>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c r="AW633" s="158"/>
      <c r="AX633" s="158"/>
      <c r="AY633" s="158"/>
      <c r="AZ633" s="158"/>
      <c r="BA633" s="158"/>
      <c r="BB633" s="158"/>
      <c r="BC633" s="158"/>
      <c r="BD633" s="158"/>
      <c r="BE633" s="158"/>
      <c r="BF633" s="158"/>
      <c r="BG633" s="158"/>
      <c r="BH633" s="158"/>
      <c r="BI633" s="158"/>
      <c r="BJ633" s="158"/>
      <c r="BK633" s="158"/>
      <c r="BL633" s="158"/>
      <c r="BM633" s="158"/>
      <c r="BN633" s="158"/>
      <c r="BO633" s="158"/>
      <c r="BP633" s="158"/>
      <c r="BQ633" s="158"/>
      <c r="BR633" s="158"/>
    </row>
    <row r="634">
      <c r="A634" s="158"/>
      <c r="B634" s="210"/>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c r="AW634" s="158"/>
      <c r="AX634" s="158"/>
      <c r="AY634" s="158"/>
      <c r="AZ634" s="158"/>
      <c r="BA634" s="158"/>
      <c r="BB634" s="158"/>
      <c r="BC634" s="158"/>
      <c r="BD634" s="158"/>
      <c r="BE634" s="158"/>
      <c r="BF634" s="158"/>
      <c r="BG634" s="158"/>
      <c r="BH634" s="158"/>
      <c r="BI634" s="158"/>
      <c r="BJ634" s="158"/>
      <c r="BK634" s="158"/>
      <c r="BL634" s="158"/>
      <c r="BM634" s="158"/>
      <c r="BN634" s="158"/>
      <c r="BO634" s="158"/>
      <c r="BP634" s="158"/>
      <c r="BQ634" s="158"/>
      <c r="BR634" s="158"/>
    </row>
    <row r="635">
      <c r="A635" s="158"/>
      <c r="B635" s="210"/>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c r="BF635" s="158"/>
      <c r="BG635" s="158"/>
      <c r="BH635" s="158"/>
      <c r="BI635" s="158"/>
      <c r="BJ635" s="158"/>
      <c r="BK635" s="158"/>
      <c r="BL635" s="158"/>
      <c r="BM635" s="158"/>
      <c r="BN635" s="158"/>
      <c r="BO635" s="158"/>
      <c r="BP635" s="158"/>
      <c r="BQ635" s="158"/>
      <c r="BR635" s="158"/>
    </row>
    <row r="636">
      <c r="A636" s="158"/>
      <c r="B636" s="210"/>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c r="BF636" s="158"/>
      <c r="BG636" s="158"/>
      <c r="BH636" s="158"/>
      <c r="BI636" s="158"/>
      <c r="BJ636" s="158"/>
      <c r="BK636" s="158"/>
      <c r="BL636" s="158"/>
      <c r="BM636" s="158"/>
      <c r="BN636" s="158"/>
      <c r="BO636" s="158"/>
      <c r="BP636" s="158"/>
      <c r="BQ636" s="158"/>
      <c r="BR636" s="158"/>
    </row>
    <row r="637">
      <c r="A637" s="158"/>
      <c r="B637" s="210"/>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c r="BF637" s="158"/>
      <c r="BG637" s="158"/>
      <c r="BH637" s="158"/>
      <c r="BI637" s="158"/>
      <c r="BJ637" s="158"/>
      <c r="BK637" s="158"/>
      <c r="BL637" s="158"/>
      <c r="BM637" s="158"/>
      <c r="BN637" s="158"/>
      <c r="BO637" s="158"/>
      <c r="BP637" s="158"/>
      <c r="BQ637" s="158"/>
      <c r="BR637" s="158"/>
    </row>
    <row r="638">
      <c r="A638" s="158"/>
      <c r="B638" s="210"/>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c r="BF638" s="158"/>
      <c r="BG638" s="158"/>
      <c r="BH638" s="158"/>
      <c r="BI638" s="158"/>
      <c r="BJ638" s="158"/>
      <c r="BK638" s="158"/>
      <c r="BL638" s="158"/>
      <c r="BM638" s="158"/>
      <c r="BN638" s="158"/>
      <c r="BO638" s="158"/>
      <c r="BP638" s="158"/>
      <c r="BQ638" s="158"/>
      <c r="BR638" s="158"/>
    </row>
    <row r="639">
      <c r="A639" s="158"/>
      <c r="B639" s="210"/>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row>
    <row r="640">
      <c r="A640" s="158"/>
      <c r="B640" s="210"/>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row>
    <row r="641">
      <c r="A641" s="158"/>
      <c r="B641" s="210"/>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row>
    <row r="642">
      <c r="A642" s="158"/>
      <c r="B642" s="210"/>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row>
    <row r="643">
      <c r="A643" s="158"/>
      <c r="B643" s="210"/>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row>
    <row r="644">
      <c r="A644" s="158"/>
      <c r="B644" s="210"/>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row>
    <row r="645">
      <c r="A645" s="158"/>
      <c r="B645" s="210"/>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row>
    <row r="646">
      <c r="A646" s="158"/>
      <c r="B646" s="210"/>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c r="AW646" s="158"/>
      <c r="AX646" s="158"/>
      <c r="AY646" s="158"/>
      <c r="AZ646" s="158"/>
      <c r="BA646" s="158"/>
      <c r="BB646" s="158"/>
      <c r="BC646" s="158"/>
      <c r="BD646" s="158"/>
      <c r="BE646" s="158"/>
      <c r="BF646" s="158"/>
      <c r="BG646" s="158"/>
      <c r="BH646" s="158"/>
      <c r="BI646" s="158"/>
      <c r="BJ646" s="158"/>
      <c r="BK646" s="158"/>
      <c r="BL646" s="158"/>
      <c r="BM646" s="158"/>
      <c r="BN646" s="158"/>
      <c r="BO646" s="158"/>
      <c r="BP646" s="158"/>
      <c r="BQ646" s="158"/>
      <c r="BR646" s="158"/>
    </row>
    <row r="647">
      <c r="A647" s="158"/>
      <c r="B647" s="210"/>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c r="AW647" s="158"/>
      <c r="AX647" s="158"/>
      <c r="AY647" s="158"/>
      <c r="AZ647" s="158"/>
      <c r="BA647" s="158"/>
      <c r="BB647" s="158"/>
      <c r="BC647" s="158"/>
      <c r="BD647" s="158"/>
      <c r="BE647" s="158"/>
      <c r="BF647" s="158"/>
      <c r="BG647" s="158"/>
      <c r="BH647" s="158"/>
      <c r="BI647" s="158"/>
      <c r="BJ647" s="158"/>
      <c r="BK647" s="158"/>
      <c r="BL647" s="158"/>
      <c r="BM647" s="158"/>
      <c r="BN647" s="158"/>
      <c r="BO647" s="158"/>
      <c r="BP647" s="158"/>
      <c r="BQ647" s="158"/>
      <c r="BR647" s="158"/>
    </row>
    <row r="648">
      <c r="A648" s="158"/>
      <c r="B648" s="210"/>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c r="AW648" s="158"/>
      <c r="AX648" s="158"/>
      <c r="AY648" s="158"/>
      <c r="AZ648" s="158"/>
      <c r="BA648" s="158"/>
      <c r="BB648" s="158"/>
      <c r="BC648" s="158"/>
      <c r="BD648" s="158"/>
      <c r="BE648" s="158"/>
      <c r="BF648" s="158"/>
      <c r="BG648" s="158"/>
      <c r="BH648" s="158"/>
      <c r="BI648" s="158"/>
      <c r="BJ648" s="158"/>
      <c r="BK648" s="158"/>
      <c r="BL648" s="158"/>
      <c r="BM648" s="158"/>
      <c r="BN648" s="158"/>
      <c r="BO648" s="158"/>
      <c r="BP648" s="158"/>
      <c r="BQ648" s="158"/>
      <c r="BR648" s="158"/>
    </row>
    <row r="649">
      <c r="A649" s="158"/>
      <c r="B649" s="210"/>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c r="AW649" s="158"/>
      <c r="AX649" s="158"/>
      <c r="AY649" s="158"/>
      <c r="AZ649" s="158"/>
      <c r="BA649" s="158"/>
      <c r="BB649" s="158"/>
      <c r="BC649" s="158"/>
      <c r="BD649" s="158"/>
      <c r="BE649" s="158"/>
      <c r="BF649" s="158"/>
      <c r="BG649" s="158"/>
      <c r="BH649" s="158"/>
      <c r="BI649" s="158"/>
      <c r="BJ649" s="158"/>
      <c r="BK649" s="158"/>
      <c r="BL649" s="158"/>
      <c r="BM649" s="158"/>
      <c r="BN649" s="158"/>
      <c r="BO649" s="158"/>
      <c r="BP649" s="158"/>
      <c r="BQ649" s="158"/>
      <c r="BR649" s="158"/>
    </row>
    <row r="650">
      <c r="A650" s="158"/>
      <c r="B650" s="210"/>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c r="AW650" s="158"/>
      <c r="AX650" s="158"/>
      <c r="AY650" s="158"/>
      <c r="AZ650" s="158"/>
      <c r="BA650" s="158"/>
      <c r="BB650" s="158"/>
      <c r="BC650" s="158"/>
      <c r="BD650" s="158"/>
      <c r="BE650" s="158"/>
      <c r="BF650" s="158"/>
      <c r="BG650" s="158"/>
      <c r="BH650" s="158"/>
      <c r="BI650" s="158"/>
      <c r="BJ650" s="158"/>
      <c r="BK650" s="158"/>
      <c r="BL650" s="158"/>
      <c r="BM650" s="158"/>
      <c r="BN650" s="158"/>
      <c r="BO650" s="158"/>
      <c r="BP650" s="158"/>
      <c r="BQ650" s="158"/>
      <c r="BR650" s="158"/>
    </row>
    <row r="651">
      <c r="A651" s="158"/>
      <c r="B651" s="210"/>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c r="AW651" s="158"/>
      <c r="AX651" s="158"/>
      <c r="AY651" s="158"/>
      <c r="AZ651" s="158"/>
      <c r="BA651" s="158"/>
      <c r="BB651" s="158"/>
      <c r="BC651" s="158"/>
      <c r="BD651" s="158"/>
      <c r="BE651" s="158"/>
      <c r="BF651" s="158"/>
      <c r="BG651" s="158"/>
      <c r="BH651" s="158"/>
      <c r="BI651" s="158"/>
      <c r="BJ651" s="158"/>
      <c r="BK651" s="158"/>
      <c r="BL651" s="158"/>
      <c r="BM651" s="158"/>
      <c r="BN651" s="158"/>
      <c r="BO651" s="158"/>
      <c r="BP651" s="158"/>
      <c r="BQ651" s="158"/>
      <c r="BR651" s="158"/>
    </row>
    <row r="652">
      <c r="A652" s="158"/>
      <c r="B652" s="210"/>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c r="AW652" s="158"/>
      <c r="AX652" s="158"/>
      <c r="AY652" s="158"/>
      <c r="AZ652" s="158"/>
      <c r="BA652" s="158"/>
      <c r="BB652" s="158"/>
      <c r="BC652" s="158"/>
      <c r="BD652" s="158"/>
      <c r="BE652" s="158"/>
      <c r="BF652" s="158"/>
      <c r="BG652" s="158"/>
      <c r="BH652" s="158"/>
      <c r="BI652" s="158"/>
      <c r="BJ652" s="158"/>
      <c r="BK652" s="158"/>
      <c r="BL652" s="158"/>
      <c r="BM652" s="158"/>
      <c r="BN652" s="158"/>
      <c r="BO652" s="158"/>
      <c r="BP652" s="158"/>
      <c r="BQ652" s="158"/>
      <c r="BR652" s="158"/>
    </row>
    <row r="653">
      <c r="A653" s="158"/>
      <c r="B653" s="210"/>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8"/>
      <c r="BR653" s="158"/>
    </row>
    <row r="654">
      <c r="A654" s="158"/>
      <c r="B654" s="210"/>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8"/>
      <c r="BR654" s="158"/>
    </row>
    <row r="655">
      <c r="A655" s="158"/>
      <c r="B655" s="210"/>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8"/>
      <c r="BR655" s="158"/>
    </row>
    <row r="656">
      <c r="A656" s="158"/>
      <c r="B656" s="210"/>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8"/>
      <c r="BR656" s="158"/>
    </row>
    <row r="657">
      <c r="A657" s="158"/>
      <c r="B657" s="210"/>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8"/>
      <c r="BR657" s="158"/>
    </row>
    <row r="658">
      <c r="A658" s="158"/>
      <c r="B658" s="210"/>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8"/>
      <c r="BR658" s="158"/>
    </row>
    <row r="659">
      <c r="A659" s="158"/>
      <c r="B659" s="210"/>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8"/>
      <c r="BR659" s="158"/>
    </row>
    <row r="660">
      <c r="A660" s="158"/>
      <c r="B660" s="210"/>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8"/>
      <c r="BR660" s="158"/>
    </row>
    <row r="661">
      <c r="A661" s="158"/>
      <c r="B661" s="210"/>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8"/>
      <c r="BR661" s="158"/>
    </row>
    <row r="662">
      <c r="A662" s="158"/>
      <c r="B662" s="210"/>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c r="BF662" s="158"/>
      <c r="BG662" s="158"/>
      <c r="BH662" s="158"/>
      <c r="BI662" s="158"/>
      <c r="BJ662" s="158"/>
      <c r="BK662" s="158"/>
      <c r="BL662" s="158"/>
      <c r="BM662" s="158"/>
      <c r="BN662" s="158"/>
      <c r="BO662" s="158"/>
      <c r="BP662" s="158"/>
      <c r="BQ662" s="158"/>
      <c r="BR662" s="158"/>
    </row>
    <row r="663">
      <c r="A663" s="158"/>
      <c r="B663" s="210"/>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c r="BF663" s="158"/>
      <c r="BG663" s="158"/>
      <c r="BH663" s="158"/>
      <c r="BI663" s="158"/>
      <c r="BJ663" s="158"/>
      <c r="BK663" s="158"/>
      <c r="BL663" s="158"/>
      <c r="BM663" s="158"/>
      <c r="BN663" s="158"/>
      <c r="BO663" s="158"/>
      <c r="BP663" s="158"/>
      <c r="BQ663" s="158"/>
      <c r="BR663" s="158"/>
    </row>
    <row r="664">
      <c r="A664" s="158"/>
      <c r="B664" s="210"/>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c r="AW664" s="158"/>
      <c r="AX664" s="158"/>
      <c r="AY664" s="158"/>
      <c r="AZ664" s="158"/>
      <c r="BA664" s="158"/>
      <c r="BB664" s="158"/>
      <c r="BC664" s="158"/>
      <c r="BD664" s="158"/>
      <c r="BE664" s="158"/>
      <c r="BF664" s="158"/>
      <c r="BG664" s="158"/>
      <c r="BH664" s="158"/>
      <c r="BI664" s="158"/>
      <c r="BJ664" s="158"/>
      <c r="BK664" s="158"/>
      <c r="BL664" s="158"/>
      <c r="BM664" s="158"/>
      <c r="BN664" s="158"/>
      <c r="BO664" s="158"/>
      <c r="BP664" s="158"/>
      <c r="BQ664" s="158"/>
      <c r="BR664" s="158"/>
    </row>
    <row r="665">
      <c r="A665" s="158"/>
      <c r="B665" s="210"/>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c r="BF665" s="158"/>
      <c r="BG665" s="158"/>
      <c r="BH665" s="158"/>
      <c r="BI665" s="158"/>
      <c r="BJ665" s="158"/>
      <c r="BK665" s="158"/>
      <c r="BL665" s="158"/>
      <c r="BM665" s="158"/>
      <c r="BN665" s="158"/>
      <c r="BO665" s="158"/>
      <c r="BP665" s="158"/>
      <c r="BQ665" s="158"/>
      <c r="BR665" s="158"/>
    </row>
    <row r="666">
      <c r="A666" s="158"/>
      <c r="B666" s="210"/>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c r="BF666" s="158"/>
      <c r="BG666" s="158"/>
      <c r="BH666" s="158"/>
      <c r="BI666" s="158"/>
      <c r="BJ666" s="158"/>
      <c r="BK666" s="158"/>
      <c r="BL666" s="158"/>
      <c r="BM666" s="158"/>
      <c r="BN666" s="158"/>
      <c r="BO666" s="158"/>
      <c r="BP666" s="158"/>
      <c r="BQ666" s="158"/>
      <c r="BR666" s="158"/>
    </row>
    <row r="667">
      <c r="A667" s="158"/>
      <c r="B667" s="210"/>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c r="AW667" s="158"/>
      <c r="AX667" s="158"/>
      <c r="AY667" s="158"/>
      <c r="AZ667" s="158"/>
      <c r="BA667" s="158"/>
      <c r="BB667" s="158"/>
      <c r="BC667" s="158"/>
      <c r="BD667" s="158"/>
      <c r="BE667" s="158"/>
      <c r="BF667" s="158"/>
      <c r="BG667" s="158"/>
      <c r="BH667" s="158"/>
      <c r="BI667" s="158"/>
      <c r="BJ667" s="158"/>
      <c r="BK667" s="158"/>
      <c r="BL667" s="158"/>
      <c r="BM667" s="158"/>
      <c r="BN667" s="158"/>
      <c r="BO667" s="158"/>
      <c r="BP667" s="158"/>
      <c r="BQ667" s="158"/>
      <c r="BR667" s="158"/>
    </row>
    <row r="668">
      <c r="A668" s="158"/>
      <c r="B668" s="210"/>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c r="BF668" s="158"/>
      <c r="BG668" s="158"/>
      <c r="BH668" s="158"/>
      <c r="BI668" s="158"/>
      <c r="BJ668" s="158"/>
      <c r="BK668" s="158"/>
      <c r="BL668" s="158"/>
      <c r="BM668" s="158"/>
      <c r="BN668" s="158"/>
      <c r="BO668" s="158"/>
      <c r="BP668" s="158"/>
      <c r="BQ668" s="158"/>
      <c r="BR668" s="158"/>
    </row>
    <row r="669">
      <c r="A669" s="158"/>
      <c r="B669" s="210"/>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c r="AW669" s="158"/>
      <c r="AX669" s="158"/>
      <c r="AY669" s="158"/>
      <c r="AZ669" s="158"/>
      <c r="BA669" s="158"/>
      <c r="BB669" s="158"/>
      <c r="BC669" s="158"/>
      <c r="BD669" s="158"/>
      <c r="BE669" s="158"/>
      <c r="BF669" s="158"/>
      <c r="BG669" s="158"/>
      <c r="BH669" s="158"/>
      <c r="BI669" s="158"/>
      <c r="BJ669" s="158"/>
      <c r="BK669" s="158"/>
      <c r="BL669" s="158"/>
      <c r="BM669" s="158"/>
      <c r="BN669" s="158"/>
      <c r="BO669" s="158"/>
      <c r="BP669" s="158"/>
      <c r="BQ669" s="158"/>
      <c r="BR669" s="158"/>
    </row>
    <row r="670">
      <c r="A670" s="158"/>
      <c r="B670" s="210"/>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c r="BF670" s="158"/>
      <c r="BG670" s="158"/>
      <c r="BH670" s="158"/>
      <c r="BI670" s="158"/>
      <c r="BJ670" s="158"/>
      <c r="BK670" s="158"/>
      <c r="BL670" s="158"/>
      <c r="BM670" s="158"/>
      <c r="BN670" s="158"/>
      <c r="BO670" s="158"/>
      <c r="BP670" s="158"/>
      <c r="BQ670" s="158"/>
      <c r="BR670" s="158"/>
    </row>
    <row r="671">
      <c r="A671" s="158"/>
      <c r="B671" s="210"/>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c r="BF671" s="158"/>
      <c r="BG671" s="158"/>
      <c r="BH671" s="158"/>
      <c r="BI671" s="158"/>
      <c r="BJ671" s="158"/>
      <c r="BK671" s="158"/>
      <c r="BL671" s="158"/>
      <c r="BM671" s="158"/>
      <c r="BN671" s="158"/>
      <c r="BO671" s="158"/>
      <c r="BP671" s="158"/>
      <c r="BQ671" s="158"/>
      <c r="BR671" s="158"/>
    </row>
    <row r="672">
      <c r="A672" s="158"/>
      <c r="B672" s="210"/>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c r="BF672" s="158"/>
      <c r="BG672" s="158"/>
      <c r="BH672" s="158"/>
      <c r="BI672" s="158"/>
      <c r="BJ672" s="158"/>
      <c r="BK672" s="158"/>
      <c r="BL672" s="158"/>
      <c r="BM672" s="158"/>
      <c r="BN672" s="158"/>
      <c r="BO672" s="158"/>
      <c r="BP672" s="158"/>
      <c r="BQ672" s="158"/>
      <c r="BR672" s="158"/>
    </row>
    <row r="673">
      <c r="A673" s="158"/>
      <c r="B673" s="210"/>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c r="BF673" s="158"/>
      <c r="BG673" s="158"/>
      <c r="BH673" s="158"/>
      <c r="BI673" s="158"/>
      <c r="BJ673" s="158"/>
      <c r="BK673" s="158"/>
      <c r="BL673" s="158"/>
      <c r="BM673" s="158"/>
      <c r="BN673" s="158"/>
      <c r="BO673" s="158"/>
      <c r="BP673" s="158"/>
      <c r="BQ673" s="158"/>
      <c r="BR673" s="158"/>
    </row>
    <row r="674">
      <c r="A674" s="158"/>
      <c r="B674" s="210"/>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c r="BF674" s="158"/>
      <c r="BG674" s="158"/>
      <c r="BH674" s="158"/>
      <c r="BI674" s="158"/>
      <c r="BJ674" s="158"/>
      <c r="BK674" s="158"/>
      <c r="BL674" s="158"/>
      <c r="BM674" s="158"/>
      <c r="BN674" s="158"/>
      <c r="BO674" s="158"/>
      <c r="BP674" s="158"/>
      <c r="BQ674" s="158"/>
      <c r="BR674" s="158"/>
    </row>
    <row r="675">
      <c r="A675" s="158"/>
      <c r="B675" s="210"/>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c r="BF675" s="158"/>
      <c r="BG675" s="158"/>
      <c r="BH675" s="158"/>
      <c r="BI675" s="158"/>
      <c r="BJ675" s="158"/>
      <c r="BK675" s="158"/>
      <c r="BL675" s="158"/>
      <c r="BM675" s="158"/>
      <c r="BN675" s="158"/>
      <c r="BO675" s="158"/>
      <c r="BP675" s="158"/>
      <c r="BQ675" s="158"/>
      <c r="BR675" s="158"/>
    </row>
    <row r="676">
      <c r="A676" s="158"/>
      <c r="B676" s="210"/>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c r="AW676" s="158"/>
      <c r="AX676" s="158"/>
      <c r="AY676" s="158"/>
      <c r="AZ676" s="158"/>
      <c r="BA676" s="158"/>
      <c r="BB676" s="158"/>
      <c r="BC676" s="158"/>
      <c r="BD676" s="158"/>
      <c r="BE676" s="158"/>
      <c r="BF676" s="158"/>
      <c r="BG676" s="158"/>
      <c r="BH676" s="158"/>
      <c r="BI676" s="158"/>
      <c r="BJ676" s="158"/>
      <c r="BK676" s="158"/>
      <c r="BL676" s="158"/>
      <c r="BM676" s="158"/>
      <c r="BN676" s="158"/>
      <c r="BO676" s="158"/>
      <c r="BP676" s="158"/>
      <c r="BQ676" s="158"/>
      <c r="BR676" s="158"/>
    </row>
    <row r="677">
      <c r="A677" s="158"/>
      <c r="B677" s="210"/>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c r="BF677" s="158"/>
      <c r="BG677" s="158"/>
      <c r="BH677" s="158"/>
      <c r="BI677" s="158"/>
      <c r="BJ677" s="158"/>
      <c r="BK677" s="158"/>
      <c r="BL677" s="158"/>
      <c r="BM677" s="158"/>
      <c r="BN677" s="158"/>
      <c r="BO677" s="158"/>
      <c r="BP677" s="158"/>
      <c r="BQ677" s="158"/>
      <c r="BR677" s="158"/>
    </row>
    <row r="678">
      <c r="A678" s="158"/>
      <c r="B678" s="210"/>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c r="BF678" s="158"/>
      <c r="BG678" s="158"/>
      <c r="BH678" s="158"/>
      <c r="BI678" s="158"/>
      <c r="BJ678" s="158"/>
      <c r="BK678" s="158"/>
      <c r="BL678" s="158"/>
      <c r="BM678" s="158"/>
      <c r="BN678" s="158"/>
      <c r="BO678" s="158"/>
      <c r="BP678" s="158"/>
      <c r="BQ678" s="158"/>
      <c r="BR678" s="158"/>
    </row>
    <row r="679">
      <c r="A679" s="158"/>
      <c r="B679" s="210"/>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c r="BF679" s="158"/>
      <c r="BG679" s="158"/>
      <c r="BH679" s="158"/>
      <c r="BI679" s="158"/>
      <c r="BJ679" s="158"/>
      <c r="BK679" s="158"/>
      <c r="BL679" s="158"/>
      <c r="BM679" s="158"/>
      <c r="BN679" s="158"/>
      <c r="BO679" s="158"/>
      <c r="BP679" s="158"/>
      <c r="BQ679" s="158"/>
      <c r="BR679" s="158"/>
    </row>
    <row r="680">
      <c r="A680" s="158"/>
      <c r="B680" s="210"/>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c r="AW680" s="158"/>
      <c r="AX680" s="158"/>
      <c r="AY680" s="158"/>
      <c r="AZ680" s="158"/>
      <c r="BA680" s="158"/>
      <c r="BB680" s="158"/>
      <c r="BC680" s="158"/>
      <c r="BD680" s="158"/>
      <c r="BE680" s="158"/>
      <c r="BF680" s="158"/>
      <c r="BG680" s="158"/>
      <c r="BH680" s="158"/>
      <c r="BI680" s="158"/>
      <c r="BJ680" s="158"/>
      <c r="BK680" s="158"/>
      <c r="BL680" s="158"/>
      <c r="BM680" s="158"/>
      <c r="BN680" s="158"/>
      <c r="BO680" s="158"/>
      <c r="BP680" s="158"/>
      <c r="BQ680" s="158"/>
      <c r="BR680" s="158"/>
    </row>
    <row r="681">
      <c r="A681" s="158"/>
      <c r="B681" s="210"/>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c r="AW681" s="158"/>
      <c r="AX681" s="158"/>
      <c r="AY681" s="158"/>
      <c r="AZ681" s="158"/>
      <c r="BA681" s="158"/>
      <c r="BB681" s="158"/>
      <c r="BC681" s="158"/>
      <c r="BD681" s="158"/>
      <c r="BE681" s="158"/>
      <c r="BF681" s="158"/>
      <c r="BG681" s="158"/>
      <c r="BH681" s="158"/>
      <c r="BI681" s="158"/>
      <c r="BJ681" s="158"/>
      <c r="BK681" s="158"/>
      <c r="BL681" s="158"/>
      <c r="BM681" s="158"/>
      <c r="BN681" s="158"/>
      <c r="BO681" s="158"/>
      <c r="BP681" s="158"/>
      <c r="BQ681" s="158"/>
      <c r="BR681" s="158"/>
    </row>
    <row r="682">
      <c r="A682" s="158"/>
      <c r="B682" s="210"/>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c r="BF682" s="158"/>
      <c r="BG682" s="158"/>
      <c r="BH682" s="158"/>
      <c r="BI682" s="158"/>
      <c r="BJ682" s="158"/>
      <c r="BK682" s="158"/>
      <c r="BL682" s="158"/>
      <c r="BM682" s="158"/>
      <c r="BN682" s="158"/>
      <c r="BO682" s="158"/>
      <c r="BP682" s="158"/>
      <c r="BQ682" s="158"/>
      <c r="BR682" s="158"/>
    </row>
    <row r="683">
      <c r="A683" s="158"/>
      <c r="B683" s="210"/>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c r="AW683" s="158"/>
      <c r="AX683" s="158"/>
      <c r="AY683" s="158"/>
      <c r="AZ683" s="158"/>
      <c r="BA683" s="158"/>
      <c r="BB683" s="158"/>
      <c r="BC683" s="158"/>
      <c r="BD683" s="158"/>
      <c r="BE683" s="158"/>
      <c r="BF683" s="158"/>
      <c r="BG683" s="158"/>
      <c r="BH683" s="158"/>
      <c r="BI683" s="158"/>
      <c r="BJ683" s="158"/>
      <c r="BK683" s="158"/>
      <c r="BL683" s="158"/>
      <c r="BM683" s="158"/>
      <c r="BN683" s="158"/>
      <c r="BO683" s="158"/>
      <c r="BP683" s="158"/>
      <c r="BQ683" s="158"/>
      <c r="BR683" s="158"/>
    </row>
    <row r="684">
      <c r="A684" s="158"/>
      <c r="B684" s="210"/>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c r="AW684" s="158"/>
      <c r="AX684" s="158"/>
      <c r="AY684" s="158"/>
      <c r="AZ684" s="158"/>
      <c r="BA684" s="158"/>
      <c r="BB684" s="158"/>
      <c r="BC684" s="158"/>
      <c r="BD684" s="158"/>
      <c r="BE684" s="158"/>
      <c r="BF684" s="158"/>
      <c r="BG684" s="158"/>
      <c r="BH684" s="158"/>
      <c r="BI684" s="158"/>
      <c r="BJ684" s="158"/>
      <c r="BK684" s="158"/>
      <c r="BL684" s="158"/>
      <c r="BM684" s="158"/>
      <c r="BN684" s="158"/>
      <c r="BO684" s="158"/>
      <c r="BP684" s="158"/>
      <c r="BQ684" s="158"/>
      <c r="BR684" s="158"/>
    </row>
    <row r="685">
      <c r="A685" s="158"/>
      <c r="B685" s="210"/>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row>
    <row r="686">
      <c r="A686" s="158"/>
      <c r="B686" s="210"/>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c r="BF686" s="158"/>
      <c r="BG686" s="158"/>
      <c r="BH686" s="158"/>
      <c r="BI686" s="158"/>
      <c r="BJ686" s="158"/>
      <c r="BK686" s="158"/>
      <c r="BL686" s="158"/>
      <c r="BM686" s="158"/>
      <c r="BN686" s="158"/>
      <c r="BO686" s="158"/>
      <c r="BP686" s="158"/>
      <c r="BQ686" s="158"/>
      <c r="BR686" s="158"/>
    </row>
    <row r="687">
      <c r="A687" s="158"/>
      <c r="B687" s="210"/>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c r="AW687" s="158"/>
      <c r="AX687" s="158"/>
      <c r="AY687" s="158"/>
      <c r="AZ687" s="158"/>
      <c r="BA687" s="158"/>
      <c r="BB687" s="158"/>
      <c r="BC687" s="158"/>
      <c r="BD687" s="158"/>
      <c r="BE687" s="158"/>
      <c r="BF687" s="158"/>
      <c r="BG687" s="158"/>
      <c r="BH687" s="158"/>
      <c r="BI687" s="158"/>
      <c r="BJ687" s="158"/>
      <c r="BK687" s="158"/>
      <c r="BL687" s="158"/>
      <c r="BM687" s="158"/>
      <c r="BN687" s="158"/>
      <c r="BO687" s="158"/>
      <c r="BP687" s="158"/>
      <c r="BQ687" s="158"/>
      <c r="BR687" s="158"/>
    </row>
    <row r="688">
      <c r="A688" s="158"/>
      <c r="B688" s="210"/>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c r="BF688" s="158"/>
      <c r="BG688" s="158"/>
      <c r="BH688" s="158"/>
      <c r="BI688" s="158"/>
      <c r="BJ688" s="158"/>
      <c r="BK688" s="158"/>
      <c r="BL688" s="158"/>
      <c r="BM688" s="158"/>
      <c r="BN688" s="158"/>
      <c r="BO688" s="158"/>
      <c r="BP688" s="158"/>
      <c r="BQ688" s="158"/>
      <c r="BR688" s="158"/>
    </row>
    <row r="689">
      <c r="A689" s="158"/>
      <c r="B689" s="210"/>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c r="BF689" s="158"/>
      <c r="BG689" s="158"/>
      <c r="BH689" s="158"/>
      <c r="BI689" s="158"/>
      <c r="BJ689" s="158"/>
      <c r="BK689" s="158"/>
      <c r="BL689" s="158"/>
      <c r="BM689" s="158"/>
      <c r="BN689" s="158"/>
      <c r="BO689" s="158"/>
      <c r="BP689" s="158"/>
      <c r="BQ689" s="158"/>
      <c r="BR689" s="158"/>
    </row>
    <row r="690">
      <c r="A690" s="158"/>
      <c r="B690" s="210"/>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c r="BF690" s="158"/>
      <c r="BG690" s="158"/>
      <c r="BH690" s="158"/>
      <c r="BI690" s="158"/>
      <c r="BJ690" s="158"/>
      <c r="BK690" s="158"/>
      <c r="BL690" s="158"/>
      <c r="BM690" s="158"/>
      <c r="BN690" s="158"/>
      <c r="BO690" s="158"/>
      <c r="BP690" s="158"/>
      <c r="BQ690" s="158"/>
      <c r="BR690" s="158"/>
    </row>
    <row r="691">
      <c r="A691" s="158"/>
      <c r="B691" s="210"/>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c r="AW691" s="158"/>
      <c r="AX691" s="158"/>
      <c r="AY691" s="158"/>
      <c r="AZ691" s="158"/>
      <c r="BA691" s="158"/>
      <c r="BB691" s="158"/>
      <c r="BC691" s="158"/>
      <c r="BD691" s="158"/>
      <c r="BE691" s="158"/>
      <c r="BF691" s="158"/>
      <c r="BG691" s="158"/>
      <c r="BH691" s="158"/>
      <c r="BI691" s="158"/>
      <c r="BJ691" s="158"/>
      <c r="BK691" s="158"/>
      <c r="BL691" s="158"/>
      <c r="BM691" s="158"/>
      <c r="BN691" s="158"/>
      <c r="BO691" s="158"/>
      <c r="BP691" s="158"/>
      <c r="BQ691" s="158"/>
      <c r="BR691" s="158"/>
    </row>
    <row r="692">
      <c r="A692" s="158"/>
      <c r="B692" s="210"/>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c r="AW692" s="158"/>
      <c r="AX692" s="158"/>
      <c r="AY692" s="158"/>
      <c r="AZ692" s="158"/>
      <c r="BA692" s="158"/>
      <c r="BB692" s="158"/>
      <c r="BC692" s="158"/>
      <c r="BD692" s="158"/>
      <c r="BE692" s="158"/>
      <c r="BF692" s="158"/>
      <c r="BG692" s="158"/>
      <c r="BH692" s="158"/>
      <c r="BI692" s="158"/>
      <c r="BJ692" s="158"/>
      <c r="BK692" s="158"/>
      <c r="BL692" s="158"/>
      <c r="BM692" s="158"/>
      <c r="BN692" s="158"/>
      <c r="BO692" s="158"/>
      <c r="BP692" s="158"/>
      <c r="BQ692" s="158"/>
      <c r="BR692" s="158"/>
    </row>
    <row r="693">
      <c r="A693" s="158"/>
      <c r="B693" s="210"/>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c r="AW693" s="158"/>
      <c r="AX693" s="158"/>
      <c r="AY693" s="158"/>
      <c r="AZ693" s="158"/>
      <c r="BA693" s="158"/>
      <c r="BB693" s="158"/>
      <c r="BC693" s="158"/>
      <c r="BD693" s="158"/>
      <c r="BE693" s="158"/>
      <c r="BF693" s="158"/>
      <c r="BG693" s="158"/>
      <c r="BH693" s="158"/>
      <c r="BI693" s="158"/>
      <c r="BJ693" s="158"/>
      <c r="BK693" s="158"/>
      <c r="BL693" s="158"/>
      <c r="BM693" s="158"/>
      <c r="BN693" s="158"/>
      <c r="BO693" s="158"/>
      <c r="BP693" s="158"/>
      <c r="BQ693" s="158"/>
      <c r="BR693" s="158"/>
    </row>
    <row r="694">
      <c r="A694" s="158"/>
      <c r="B694" s="210"/>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c r="AW694" s="158"/>
      <c r="AX694" s="158"/>
      <c r="AY694" s="158"/>
      <c r="AZ694" s="158"/>
      <c r="BA694" s="158"/>
      <c r="BB694" s="158"/>
      <c r="BC694" s="158"/>
      <c r="BD694" s="158"/>
      <c r="BE694" s="158"/>
      <c r="BF694" s="158"/>
      <c r="BG694" s="158"/>
      <c r="BH694" s="158"/>
      <c r="BI694" s="158"/>
      <c r="BJ694" s="158"/>
      <c r="BK694" s="158"/>
      <c r="BL694" s="158"/>
      <c r="BM694" s="158"/>
      <c r="BN694" s="158"/>
      <c r="BO694" s="158"/>
      <c r="BP694" s="158"/>
      <c r="BQ694" s="158"/>
      <c r="BR694" s="158"/>
    </row>
    <row r="695">
      <c r="A695" s="158"/>
      <c r="B695" s="210"/>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c r="AW695" s="158"/>
      <c r="AX695" s="158"/>
      <c r="AY695" s="158"/>
      <c r="AZ695" s="158"/>
      <c r="BA695" s="158"/>
      <c r="BB695" s="158"/>
      <c r="BC695" s="158"/>
      <c r="BD695" s="158"/>
      <c r="BE695" s="158"/>
      <c r="BF695" s="158"/>
      <c r="BG695" s="158"/>
      <c r="BH695" s="158"/>
      <c r="BI695" s="158"/>
      <c r="BJ695" s="158"/>
      <c r="BK695" s="158"/>
      <c r="BL695" s="158"/>
      <c r="BM695" s="158"/>
      <c r="BN695" s="158"/>
      <c r="BO695" s="158"/>
      <c r="BP695" s="158"/>
      <c r="BQ695" s="158"/>
      <c r="BR695" s="158"/>
    </row>
    <row r="696">
      <c r="A696" s="158"/>
      <c r="B696" s="210"/>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c r="AW696" s="158"/>
      <c r="AX696" s="158"/>
      <c r="AY696" s="158"/>
      <c r="AZ696" s="158"/>
      <c r="BA696" s="158"/>
      <c r="BB696" s="158"/>
      <c r="BC696" s="158"/>
      <c r="BD696" s="158"/>
      <c r="BE696" s="158"/>
      <c r="BF696" s="158"/>
      <c r="BG696" s="158"/>
      <c r="BH696" s="158"/>
      <c r="BI696" s="158"/>
      <c r="BJ696" s="158"/>
      <c r="BK696" s="158"/>
      <c r="BL696" s="158"/>
      <c r="BM696" s="158"/>
      <c r="BN696" s="158"/>
      <c r="BO696" s="158"/>
      <c r="BP696" s="158"/>
      <c r="BQ696" s="158"/>
      <c r="BR696" s="158"/>
    </row>
    <row r="697">
      <c r="A697" s="158"/>
      <c r="B697" s="210"/>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c r="BF697" s="158"/>
      <c r="BG697" s="158"/>
      <c r="BH697" s="158"/>
      <c r="BI697" s="158"/>
      <c r="BJ697" s="158"/>
      <c r="BK697" s="158"/>
      <c r="BL697" s="158"/>
      <c r="BM697" s="158"/>
      <c r="BN697" s="158"/>
      <c r="BO697" s="158"/>
      <c r="BP697" s="158"/>
      <c r="BQ697" s="158"/>
      <c r="BR697" s="158"/>
    </row>
    <row r="698">
      <c r="A698" s="158"/>
      <c r="B698" s="210"/>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c r="BF698" s="158"/>
      <c r="BG698" s="158"/>
      <c r="BH698" s="158"/>
      <c r="BI698" s="158"/>
      <c r="BJ698" s="158"/>
      <c r="BK698" s="158"/>
      <c r="BL698" s="158"/>
      <c r="BM698" s="158"/>
      <c r="BN698" s="158"/>
      <c r="BO698" s="158"/>
      <c r="BP698" s="158"/>
      <c r="BQ698" s="158"/>
      <c r="BR698" s="158"/>
    </row>
    <row r="699">
      <c r="A699" s="158"/>
      <c r="B699" s="210"/>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c r="AW699" s="158"/>
      <c r="AX699" s="158"/>
      <c r="AY699" s="158"/>
      <c r="AZ699" s="158"/>
      <c r="BA699" s="158"/>
      <c r="BB699" s="158"/>
      <c r="BC699" s="158"/>
      <c r="BD699" s="158"/>
      <c r="BE699" s="158"/>
      <c r="BF699" s="158"/>
      <c r="BG699" s="158"/>
      <c r="BH699" s="158"/>
      <c r="BI699" s="158"/>
      <c r="BJ699" s="158"/>
      <c r="BK699" s="158"/>
      <c r="BL699" s="158"/>
      <c r="BM699" s="158"/>
      <c r="BN699" s="158"/>
      <c r="BO699" s="158"/>
      <c r="BP699" s="158"/>
      <c r="BQ699" s="158"/>
      <c r="BR699" s="158"/>
    </row>
    <row r="700">
      <c r="A700" s="158"/>
      <c r="B700" s="210"/>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c r="BF700" s="158"/>
      <c r="BG700" s="158"/>
      <c r="BH700" s="158"/>
      <c r="BI700" s="158"/>
      <c r="BJ700" s="158"/>
      <c r="BK700" s="158"/>
      <c r="BL700" s="158"/>
      <c r="BM700" s="158"/>
      <c r="BN700" s="158"/>
      <c r="BO700" s="158"/>
      <c r="BP700" s="158"/>
      <c r="BQ700" s="158"/>
      <c r="BR700" s="158"/>
    </row>
    <row r="701">
      <c r="A701" s="158"/>
      <c r="B701" s="210"/>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c r="BF701" s="158"/>
      <c r="BG701" s="158"/>
      <c r="BH701" s="158"/>
      <c r="BI701" s="158"/>
      <c r="BJ701" s="158"/>
      <c r="BK701" s="158"/>
      <c r="BL701" s="158"/>
      <c r="BM701" s="158"/>
      <c r="BN701" s="158"/>
      <c r="BO701" s="158"/>
      <c r="BP701" s="158"/>
      <c r="BQ701" s="158"/>
      <c r="BR701" s="158"/>
    </row>
    <row r="702">
      <c r="A702" s="158"/>
      <c r="B702" s="210"/>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c r="BF702" s="158"/>
      <c r="BG702" s="158"/>
      <c r="BH702" s="158"/>
      <c r="BI702" s="158"/>
      <c r="BJ702" s="158"/>
      <c r="BK702" s="158"/>
      <c r="BL702" s="158"/>
      <c r="BM702" s="158"/>
      <c r="BN702" s="158"/>
      <c r="BO702" s="158"/>
      <c r="BP702" s="158"/>
      <c r="BQ702" s="158"/>
      <c r="BR702" s="158"/>
    </row>
    <row r="703">
      <c r="A703" s="158"/>
      <c r="B703" s="210"/>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c r="AW703" s="158"/>
      <c r="AX703" s="158"/>
      <c r="AY703" s="158"/>
      <c r="AZ703" s="158"/>
      <c r="BA703" s="158"/>
      <c r="BB703" s="158"/>
      <c r="BC703" s="158"/>
      <c r="BD703" s="158"/>
      <c r="BE703" s="158"/>
      <c r="BF703" s="158"/>
      <c r="BG703" s="158"/>
      <c r="BH703" s="158"/>
      <c r="BI703" s="158"/>
      <c r="BJ703" s="158"/>
      <c r="BK703" s="158"/>
      <c r="BL703" s="158"/>
      <c r="BM703" s="158"/>
      <c r="BN703" s="158"/>
      <c r="BO703" s="158"/>
      <c r="BP703" s="158"/>
      <c r="BQ703" s="158"/>
      <c r="BR703" s="158"/>
    </row>
    <row r="704">
      <c r="A704" s="158"/>
      <c r="B704" s="210"/>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c r="BF704" s="158"/>
      <c r="BG704" s="158"/>
      <c r="BH704" s="158"/>
      <c r="BI704" s="158"/>
      <c r="BJ704" s="158"/>
      <c r="BK704" s="158"/>
      <c r="BL704" s="158"/>
      <c r="BM704" s="158"/>
      <c r="BN704" s="158"/>
      <c r="BO704" s="158"/>
      <c r="BP704" s="158"/>
      <c r="BQ704" s="158"/>
      <c r="BR704" s="158"/>
    </row>
    <row r="705">
      <c r="A705" s="158"/>
      <c r="B705" s="210"/>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c r="BF705" s="158"/>
      <c r="BG705" s="158"/>
      <c r="BH705" s="158"/>
      <c r="BI705" s="158"/>
      <c r="BJ705" s="158"/>
      <c r="BK705" s="158"/>
      <c r="BL705" s="158"/>
      <c r="BM705" s="158"/>
      <c r="BN705" s="158"/>
      <c r="BO705" s="158"/>
      <c r="BP705" s="158"/>
      <c r="BQ705" s="158"/>
      <c r="BR705" s="158"/>
    </row>
    <row r="706">
      <c r="A706" s="158"/>
      <c r="B706" s="210"/>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c r="AW706" s="158"/>
      <c r="AX706" s="158"/>
      <c r="AY706" s="158"/>
      <c r="AZ706" s="158"/>
      <c r="BA706" s="158"/>
      <c r="BB706" s="158"/>
      <c r="BC706" s="158"/>
      <c r="BD706" s="158"/>
      <c r="BE706" s="158"/>
      <c r="BF706" s="158"/>
      <c r="BG706" s="158"/>
      <c r="BH706" s="158"/>
      <c r="BI706" s="158"/>
      <c r="BJ706" s="158"/>
      <c r="BK706" s="158"/>
      <c r="BL706" s="158"/>
      <c r="BM706" s="158"/>
      <c r="BN706" s="158"/>
      <c r="BO706" s="158"/>
      <c r="BP706" s="158"/>
      <c r="BQ706" s="158"/>
      <c r="BR706" s="158"/>
    </row>
    <row r="707">
      <c r="A707" s="158"/>
      <c r="B707" s="210"/>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c r="AW707" s="158"/>
      <c r="AX707" s="158"/>
      <c r="AY707" s="158"/>
      <c r="AZ707" s="158"/>
      <c r="BA707" s="158"/>
      <c r="BB707" s="158"/>
      <c r="BC707" s="158"/>
      <c r="BD707" s="158"/>
      <c r="BE707" s="158"/>
      <c r="BF707" s="158"/>
      <c r="BG707" s="158"/>
      <c r="BH707" s="158"/>
      <c r="BI707" s="158"/>
      <c r="BJ707" s="158"/>
      <c r="BK707" s="158"/>
      <c r="BL707" s="158"/>
      <c r="BM707" s="158"/>
      <c r="BN707" s="158"/>
      <c r="BO707" s="158"/>
      <c r="BP707" s="158"/>
      <c r="BQ707" s="158"/>
      <c r="BR707" s="158"/>
    </row>
    <row r="708">
      <c r="A708" s="158"/>
      <c r="B708" s="210"/>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c r="AR708" s="158"/>
      <c r="AS708" s="158"/>
      <c r="AT708" s="158"/>
      <c r="AU708" s="158"/>
      <c r="AV708" s="158"/>
      <c r="AW708" s="158"/>
      <c r="AX708" s="158"/>
      <c r="AY708" s="158"/>
      <c r="AZ708" s="158"/>
      <c r="BA708" s="158"/>
      <c r="BB708" s="158"/>
      <c r="BC708" s="158"/>
      <c r="BD708" s="158"/>
      <c r="BE708" s="158"/>
      <c r="BF708" s="158"/>
      <c r="BG708" s="158"/>
      <c r="BH708" s="158"/>
      <c r="BI708" s="158"/>
      <c r="BJ708" s="158"/>
      <c r="BK708" s="158"/>
      <c r="BL708" s="158"/>
      <c r="BM708" s="158"/>
      <c r="BN708" s="158"/>
      <c r="BO708" s="158"/>
      <c r="BP708" s="158"/>
      <c r="BQ708" s="158"/>
      <c r="BR708" s="158"/>
    </row>
    <row r="709">
      <c r="A709" s="158"/>
      <c r="B709" s="210"/>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c r="AW709" s="158"/>
      <c r="AX709" s="158"/>
      <c r="AY709" s="158"/>
      <c r="AZ709" s="158"/>
      <c r="BA709" s="158"/>
      <c r="BB709" s="158"/>
      <c r="BC709" s="158"/>
      <c r="BD709" s="158"/>
      <c r="BE709" s="158"/>
      <c r="BF709" s="158"/>
      <c r="BG709" s="158"/>
      <c r="BH709" s="158"/>
      <c r="BI709" s="158"/>
      <c r="BJ709" s="158"/>
      <c r="BK709" s="158"/>
      <c r="BL709" s="158"/>
      <c r="BM709" s="158"/>
      <c r="BN709" s="158"/>
      <c r="BO709" s="158"/>
      <c r="BP709" s="158"/>
      <c r="BQ709" s="158"/>
      <c r="BR709" s="158"/>
    </row>
    <row r="710">
      <c r="A710" s="158"/>
      <c r="B710" s="210"/>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c r="AR710" s="158"/>
      <c r="AS710" s="158"/>
      <c r="AT710" s="158"/>
      <c r="AU710" s="158"/>
      <c r="AV710" s="158"/>
      <c r="AW710" s="158"/>
      <c r="AX710" s="158"/>
      <c r="AY710" s="158"/>
      <c r="AZ710" s="158"/>
      <c r="BA710" s="158"/>
      <c r="BB710" s="158"/>
      <c r="BC710" s="158"/>
      <c r="BD710" s="158"/>
      <c r="BE710" s="158"/>
      <c r="BF710" s="158"/>
      <c r="BG710" s="158"/>
      <c r="BH710" s="158"/>
      <c r="BI710" s="158"/>
      <c r="BJ710" s="158"/>
      <c r="BK710" s="158"/>
      <c r="BL710" s="158"/>
      <c r="BM710" s="158"/>
      <c r="BN710" s="158"/>
      <c r="BO710" s="158"/>
      <c r="BP710" s="158"/>
      <c r="BQ710" s="158"/>
      <c r="BR710" s="158"/>
    </row>
    <row r="711">
      <c r="A711" s="158"/>
      <c r="B711" s="210"/>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c r="AR711" s="158"/>
      <c r="AS711" s="158"/>
      <c r="AT711" s="158"/>
      <c r="AU711" s="158"/>
      <c r="AV711" s="158"/>
      <c r="AW711" s="158"/>
      <c r="AX711" s="158"/>
      <c r="AY711" s="158"/>
      <c r="AZ711" s="158"/>
      <c r="BA711" s="158"/>
      <c r="BB711" s="158"/>
      <c r="BC711" s="158"/>
      <c r="BD711" s="158"/>
      <c r="BE711" s="158"/>
      <c r="BF711" s="158"/>
      <c r="BG711" s="158"/>
      <c r="BH711" s="158"/>
      <c r="BI711" s="158"/>
      <c r="BJ711" s="158"/>
      <c r="BK711" s="158"/>
      <c r="BL711" s="158"/>
      <c r="BM711" s="158"/>
      <c r="BN711" s="158"/>
      <c r="BO711" s="158"/>
      <c r="BP711" s="158"/>
      <c r="BQ711" s="158"/>
      <c r="BR711" s="158"/>
    </row>
    <row r="712">
      <c r="A712" s="158"/>
      <c r="B712" s="210"/>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c r="AW712" s="158"/>
      <c r="AX712" s="158"/>
      <c r="AY712" s="158"/>
      <c r="AZ712" s="158"/>
      <c r="BA712" s="158"/>
      <c r="BB712" s="158"/>
      <c r="BC712" s="158"/>
      <c r="BD712" s="158"/>
      <c r="BE712" s="158"/>
      <c r="BF712" s="158"/>
      <c r="BG712" s="158"/>
      <c r="BH712" s="158"/>
      <c r="BI712" s="158"/>
      <c r="BJ712" s="158"/>
      <c r="BK712" s="158"/>
      <c r="BL712" s="158"/>
      <c r="BM712" s="158"/>
      <c r="BN712" s="158"/>
      <c r="BO712" s="158"/>
      <c r="BP712" s="158"/>
      <c r="BQ712" s="158"/>
      <c r="BR712" s="158"/>
    </row>
    <row r="713">
      <c r="A713" s="158"/>
      <c r="B713" s="210"/>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c r="AW713" s="158"/>
      <c r="AX713" s="158"/>
      <c r="AY713" s="158"/>
      <c r="AZ713" s="158"/>
      <c r="BA713" s="158"/>
      <c r="BB713" s="158"/>
      <c r="BC713" s="158"/>
      <c r="BD713" s="158"/>
      <c r="BE713" s="158"/>
      <c r="BF713" s="158"/>
      <c r="BG713" s="158"/>
      <c r="BH713" s="158"/>
      <c r="BI713" s="158"/>
      <c r="BJ713" s="158"/>
      <c r="BK713" s="158"/>
      <c r="BL713" s="158"/>
      <c r="BM713" s="158"/>
      <c r="BN713" s="158"/>
      <c r="BO713" s="158"/>
      <c r="BP713" s="158"/>
      <c r="BQ713" s="158"/>
      <c r="BR713" s="158"/>
    </row>
    <row r="714">
      <c r="A714" s="158"/>
      <c r="B714" s="210"/>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c r="AW714" s="158"/>
      <c r="AX714" s="158"/>
      <c r="AY714" s="158"/>
      <c r="AZ714" s="158"/>
      <c r="BA714" s="158"/>
      <c r="BB714" s="158"/>
      <c r="BC714" s="158"/>
      <c r="BD714" s="158"/>
      <c r="BE714" s="158"/>
      <c r="BF714" s="158"/>
      <c r="BG714" s="158"/>
      <c r="BH714" s="158"/>
      <c r="BI714" s="158"/>
      <c r="BJ714" s="158"/>
      <c r="BK714" s="158"/>
      <c r="BL714" s="158"/>
      <c r="BM714" s="158"/>
      <c r="BN714" s="158"/>
      <c r="BO714" s="158"/>
      <c r="BP714" s="158"/>
      <c r="BQ714" s="158"/>
      <c r="BR714" s="158"/>
    </row>
    <row r="715">
      <c r="A715" s="158"/>
      <c r="B715" s="210"/>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c r="AR715" s="158"/>
      <c r="AS715" s="158"/>
      <c r="AT715" s="158"/>
      <c r="AU715" s="158"/>
      <c r="AV715" s="158"/>
      <c r="AW715" s="158"/>
      <c r="AX715" s="158"/>
      <c r="AY715" s="158"/>
      <c r="AZ715" s="158"/>
      <c r="BA715" s="158"/>
      <c r="BB715" s="158"/>
      <c r="BC715" s="158"/>
      <c r="BD715" s="158"/>
      <c r="BE715" s="158"/>
      <c r="BF715" s="158"/>
      <c r="BG715" s="158"/>
      <c r="BH715" s="158"/>
      <c r="BI715" s="158"/>
      <c r="BJ715" s="158"/>
      <c r="BK715" s="158"/>
      <c r="BL715" s="158"/>
      <c r="BM715" s="158"/>
      <c r="BN715" s="158"/>
      <c r="BO715" s="158"/>
      <c r="BP715" s="158"/>
      <c r="BQ715" s="158"/>
      <c r="BR715" s="158"/>
    </row>
    <row r="716">
      <c r="A716" s="158"/>
      <c r="B716" s="210"/>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c r="AW716" s="158"/>
      <c r="AX716" s="158"/>
      <c r="AY716" s="158"/>
      <c r="AZ716" s="158"/>
      <c r="BA716" s="158"/>
      <c r="BB716" s="158"/>
      <c r="BC716" s="158"/>
      <c r="BD716" s="158"/>
      <c r="BE716" s="158"/>
      <c r="BF716" s="158"/>
      <c r="BG716" s="158"/>
      <c r="BH716" s="158"/>
      <c r="BI716" s="158"/>
      <c r="BJ716" s="158"/>
      <c r="BK716" s="158"/>
      <c r="BL716" s="158"/>
      <c r="BM716" s="158"/>
      <c r="BN716" s="158"/>
      <c r="BO716" s="158"/>
      <c r="BP716" s="158"/>
      <c r="BQ716" s="158"/>
      <c r="BR716" s="158"/>
    </row>
    <row r="717">
      <c r="A717" s="158"/>
      <c r="B717" s="210"/>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c r="AW717" s="158"/>
      <c r="AX717" s="158"/>
      <c r="AY717" s="158"/>
      <c r="AZ717" s="158"/>
      <c r="BA717" s="158"/>
      <c r="BB717" s="158"/>
      <c r="BC717" s="158"/>
      <c r="BD717" s="158"/>
      <c r="BE717" s="158"/>
      <c r="BF717" s="158"/>
      <c r="BG717" s="158"/>
      <c r="BH717" s="158"/>
      <c r="BI717" s="158"/>
      <c r="BJ717" s="158"/>
      <c r="BK717" s="158"/>
      <c r="BL717" s="158"/>
      <c r="BM717" s="158"/>
      <c r="BN717" s="158"/>
      <c r="BO717" s="158"/>
      <c r="BP717" s="158"/>
      <c r="BQ717" s="158"/>
      <c r="BR717" s="158"/>
    </row>
    <row r="718">
      <c r="A718" s="158"/>
      <c r="B718" s="210"/>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c r="AR718" s="158"/>
      <c r="AS718" s="158"/>
      <c r="AT718" s="158"/>
      <c r="AU718" s="158"/>
      <c r="AV718" s="158"/>
      <c r="AW718" s="158"/>
      <c r="AX718" s="158"/>
      <c r="AY718" s="158"/>
      <c r="AZ718" s="158"/>
      <c r="BA718" s="158"/>
      <c r="BB718" s="158"/>
      <c r="BC718" s="158"/>
      <c r="BD718" s="158"/>
      <c r="BE718" s="158"/>
      <c r="BF718" s="158"/>
      <c r="BG718" s="158"/>
      <c r="BH718" s="158"/>
      <c r="BI718" s="158"/>
      <c r="BJ718" s="158"/>
      <c r="BK718" s="158"/>
      <c r="BL718" s="158"/>
      <c r="BM718" s="158"/>
      <c r="BN718" s="158"/>
      <c r="BO718" s="158"/>
      <c r="BP718" s="158"/>
      <c r="BQ718" s="158"/>
      <c r="BR718" s="158"/>
    </row>
    <row r="719">
      <c r="A719" s="158"/>
      <c r="B719" s="210"/>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c r="AR719" s="158"/>
      <c r="AS719" s="158"/>
      <c r="AT719" s="158"/>
      <c r="AU719" s="158"/>
      <c r="AV719" s="158"/>
      <c r="AW719" s="158"/>
      <c r="AX719" s="158"/>
      <c r="AY719" s="158"/>
      <c r="AZ719" s="158"/>
      <c r="BA719" s="158"/>
      <c r="BB719" s="158"/>
      <c r="BC719" s="158"/>
      <c r="BD719" s="158"/>
      <c r="BE719" s="158"/>
      <c r="BF719" s="158"/>
      <c r="BG719" s="158"/>
      <c r="BH719" s="158"/>
      <c r="BI719" s="158"/>
      <c r="BJ719" s="158"/>
      <c r="BK719" s="158"/>
      <c r="BL719" s="158"/>
      <c r="BM719" s="158"/>
      <c r="BN719" s="158"/>
      <c r="BO719" s="158"/>
      <c r="BP719" s="158"/>
      <c r="BQ719" s="158"/>
      <c r="BR719" s="158"/>
    </row>
    <row r="720">
      <c r="A720" s="158"/>
      <c r="B720" s="210"/>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c r="AR720" s="158"/>
      <c r="AS720" s="158"/>
      <c r="AT720" s="158"/>
      <c r="AU720" s="158"/>
      <c r="AV720" s="158"/>
      <c r="AW720" s="158"/>
      <c r="AX720" s="158"/>
      <c r="AY720" s="158"/>
      <c r="AZ720" s="158"/>
      <c r="BA720" s="158"/>
      <c r="BB720" s="158"/>
      <c r="BC720" s="158"/>
      <c r="BD720" s="158"/>
      <c r="BE720" s="158"/>
      <c r="BF720" s="158"/>
      <c r="BG720" s="158"/>
      <c r="BH720" s="158"/>
      <c r="BI720" s="158"/>
      <c r="BJ720" s="158"/>
      <c r="BK720" s="158"/>
      <c r="BL720" s="158"/>
      <c r="BM720" s="158"/>
      <c r="BN720" s="158"/>
      <c r="BO720" s="158"/>
      <c r="BP720" s="158"/>
      <c r="BQ720" s="158"/>
      <c r="BR720" s="158"/>
    </row>
    <row r="721">
      <c r="A721" s="158"/>
      <c r="B721" s="210"/>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c r="AR721" s="158"/>
      <c r="AS721" s="158"/>
      <c r="AT721" s="158"/>
      <c r="AU721" s="158"/>
      <c r="AV721" s="158"/>
      <c r="AW721" s="158"/>
      <c r="AX721" s="158"/>
      <c r="AY721" s="158"/>
      <c r="AZ721" s="158"/>
      <c r="BA721" s="158"/>
      <c r="BB721" s="158"/>
      <c r="BC721" s="158"/>
      <c r="BD721" s="158"/>
      <c r="BE721" s="158"/>
      <c r="BF721" s="158"/>
      <c r="BG721" s="158"/>
      <c r="BH721" s="158"/>
      <c r="BI721" s="158"/>
      <c r="BJ721" s="158"/>
      <c r="BK721" s="158"/>
      <c r="BL721" s="158"/>
      <c r="BM721" s="158"/>
      <c r="BN721" s="158"/>
      <c r="BO721" s="158"/>
      <c r="BP721" s="158"/>
      <c r="BQ721" s="158"/>
      <c r="BR721" s="158"/>
    </row>
    <row r="722">
      <c r="A722" s="158"/>
      <c r="B722" s="210"/>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c r="AR722" s="158"/>
      <c r="AS722" s="158"/>
      <c r="AT722" s="158"/>
      <c r="AU722" s="158"/>
      <c r="AV722" s="158"/>
      <c r="AW722" s="158"/>
      <c r="AX722" s="158"/>
      <c r="AY722" s="158"/>
      <c r="AZ722" s="158"/>
      <c r="BA722" s="158"/>
      <c r="BB722" s="158"/>
      <c r="BC722" s="158"/>
      <c r="BD722" s="158"/>
      <c r="BE722" s="158"/>
      <c r="BF722" s="158"/>
      <c r="BG722" s="158"/>
      <c r="BH722" s="158"/>
      <c r="BI722" s="158"/>
      <c r="BJ722" s="158"/>
      <c r="BK722" s="158"/>
      <c r="BL722" s="158"/>
      <c r="BM722" s="158"/>
      <c r="BN722" s="158"/>
      <c r="BO722" s="158"/>
      <c r="BP722" s="158"/>
      <c r="BQ722" s="158"/>
      <c r="BR722" s="158"/>
    </row>
    <row r="723">
      <c r="A723" s="158"/>
      <c r="B723" s="210"/>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c r="AR723" s="158"/>
      <c r="AS723" s="158"/>
      <c r="AT723" s="158"/>
      <c r="AU723" s="158"/>
      <c r="AV723" s="158"/>
      <c r="AW723" s="158"/>
      <c r="AX723" s="158"/>
      <c r="AY723" s="158"/>
      <c r="AZ723" s="158"/>
      <c r="BA723" s="158"/>
      <c r="BB723" s="158"/>
      <c r="BC723" s="158"/>
      <c r="BD723" s="158"/>
      <c r="BE723" s="158"/>
      <c r="BF723" s="158"/>
      <c r="BG723" s="158"/>
      <c r="BH723" s="158"/>
      <c r="BI723" s="158"/>
      <c r="BJ723" s="158"/>
      <c r="BK723" s="158"/>
      <c r="BL723" s="158"/>
      <c r="BM723" s="158"/>
      <c r="BN723" s="158"/>
      <c r="BO723" s="158"/>
      <c r="BP723" s="158"/>
      <c r="BQ723" s="158"/>
      <c r="BR723" s="158"/>
    </row>
    <row r="724">
      <c r="A724" s="158"/>
      <c r="B724" s="210"/>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c r="AW724" s="158"/>
      <c r="AX724" s="158"/>
      <c r="AY724" s="158"/>
      <c r="AZ724" s="158"/>
      <c r="BA724" s="158"/>
      <c r="BB724" s="158"/>
      <c r="BC724" s="158"/>
      <c r="BD724" s="158"/>
      <c r="BE724" s="158"/>
      <c r="BF724" s="158"/>
      <c r="BG724" s="158"/>
      <c r="BH724" s="158"/>
      <c r="BI724" s="158"/>
      <c r="BJ724" s="158"/>
      <c r="BK724" s="158"/>
      <c r="BL724" s="158"/>
      <c r="BM724" s="158"/>
      <c r="BN724" s="158"/>
      <c r="BO724" s="158"/>
      <c r="BP724" s="158"/>
      <c r="BQ724" s="158"/>
      <c r="BR724" s="158"/>
    </row>
    <row r="725">
      <c r="A725" s="158"/>
      <c r="B725" s="210"/>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c r="AW725" s="158"/>
      <c r="AX725" s="158"/>
      <c r="AY725" s="158"/>
      <c r="AZ725" s="158"/>
      <c r="BA725" s="158"/>
      <c r="BB725" s="158"/>
      <c r="BC725" s="158"/>
      <c r="BD725" s="158"/>
      <c r="BE725" s="158"/>
      <c r="BF725" s="158"/>
      <c r="BG725" s="158"/>
      <c r="BH725" s="158"/>
      <c r="BI725" s="158"/>
      <c r="BJ725" s="158"/>
      <c r="BK725" s="158"/>
      <c r="BL725" s="158"/>
      <c r="BM725" s="158"/>
      <c r="BN725" s="158"/>
      <c r="BO725" s="158"/>
      <c r="BP725" s="158"/>
      <c r="BQ725" s="158"/>
      <c r="BR725" s="158"/>
    </row>
    <row r="726">
      <c r="A726" s="158"/>
      <c r="B726" s="210"/>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c r="AW726" s="158"/>
      <c r="AX726" s="158"/>
      <c r="AY726" s="158"/>
      <c r="AZ726" s="158"/>
      <c r="BA726" s="158"/>
      <c r="BB726" s="158"/>
      <c r="BC726" s="158"/>
      <c r="BD726" s="158"/>
      <c r="BE726" s="158"/>
      <c r="BF726" s="158"/>
      <c r="BG726" s="158"/>
      <c r="BH726" s="158"/>
      <c r="BI726" s="158"/>
      <c r="BJ726" s="158"/>
      <c r="BK726" s="158"/>
      <c r="BL726" s="158"/>
      <c r="BM726" s="158"/>
      <c r="BN726" s="158"/>
      <c r="BO726" s="158"/>
      <c r="BP726" s="158"/>
      <c r="BQ726" s="158"/>
      <c r="BR726" s="158"/>
    </row>
    <row r="727">
      <c r="A727" s="158"/>
      <c r="B727" s="210"/>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c r="AW727" s="158"/>
      <c r="AX727" s="158"/>
      <c r="AY727" s="158"/>
      <c r="AZ727" s="158"/>
      <c r="BA727" s="158"/>
      <c r="BB727" s="158"/>
      <c r="BC727" s="158"/>
      <c r="BD727" s="158"/>
      <c r="BE727" s="158"/>
      <c r="BF727" s="158"/>
      <c r="BG727" s="158"/>
      <c r="BH727" s="158"/>
      <c r="BI727" s="158"/>
      <c r="BJ727" s="158"/>
      <c r="BK727" s="158"/>
      <c r="BL727" s="158"/>
      <c r="BM727" s="158"/>
      <c r="BN727" s="158"/>
      <c r="BO727" s="158"/>
      <c r="BP727" s="158"/>
      <c r="BQ727" s="158"/>
      <c r="BR727" s="158"/>
    </row>
    <row r="728">
      <c r="A728" s="158"/>
      <c r="B728" s="210"/>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c r="AW728" s="158"/>
      <c r="AX728" s="158"/>
      <c r="AY728" s="158"/>
      <c r="AZ728" s="158"/>
      <c r="BA728" s="158"/>
      <c r="BB728" s="158"/>
      <c r="BC728" s="158"/>
      <c r="BD728" s="158"/>
      <c r="BE728" s="158"/>
      <c r="BF728" s="158"/>
      <c r="BG728" s="158"/>
      <c r="BH728" s="158"/>
      <c r="BI728" s="158"/>
      <c r="BJ728" s="158"/>
      <c r="BK728" s="158"/>
      <c r="BL728" s="158"/>
      <c r="BM728" s="158"/>
      <c r="BN728" s="158"/>
      <c r="BO728" s="158"/>
      <c r="BP728" s="158"/>
      <c r="BQ728" s="158"/>
      <c r="BR728" s="158"/>
    </row>
    <row r="729">
      <c r="A729" s="158"/>
      <c r="B729" s="210"/>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c r="AW729" s="158"/>
      <c r="AX729" s="158"/>
      <c r="AY729" s="158"/>
      <c r="AZ729" s="158"/>
      <c r="BA729" s="158"/>
      <c r="BB729" s="158"/>
      <c r="BC729" s="158"/>
      <c r="BD729" s="158"/>
      <c r="BE729" s="158"/>
      <c r="BF729" s="158"/>
      <c r="BG729" s="158"/>
      <c r="BH729" s="158"/>
      <c r="BI729" s="158"/>
      <c r="BJ729" s="158"/>
      <c r="BK729" s="158"/>
      <c r="BL729" s="158"/>
      <c r="BM729" s="158"/>
      <c r="BN729" s="158"/>
      <c r="BO729" s="158"/>
      <c r="BP729" s="158"/>
      <c r="BQ729" s="158"/>
      <c r="BR729" s="158"/>
    </row>
    <row r="730">
      <c r="A730" s="158"/>
      <c r="B730" s="210"/>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c r="AW730" s="158"/>
      <c r="AX730" s="158"/>
      <c r="AY730" s="158"/>
      <c r="AZ730" s="158"/>
      <c r="BA730" s="158"/>
      <c r="BB730" s="158"/>
      <c r="BC730" s="158"/>
      <c r="BD730" s="158"/>
      <c r="BE730" s="158"/>
      <c r="BF730" s="158"/>
      <c r="BG730" s="158"/>
      <c r="BH730" s="158"/>
      <c r="BI730" s="158"/>
      <c r="BJ730" s="158"/>
      <c r="BK730" s="158"/>
      <c r="BL730" s="158"/>
      <c r="BM730" s="158"/>
      <c r="BN730" s="158"/>
      <c r="BO730" s="158"/>
      <c r="BP730" s="158"/>
      <c r="BQ730" s="158"/>
      <c r="BR730" s="158"/>
    </row>
    <row r="731">
      <c r="A731" s="158"/>
      <c r="B731" s="210"/>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c r="AW731" s="158"/>
      <c r="AX731" s="158"/>
      <c r="AY731" s="158"/>
      <c r="AZ731" s="158"/>
      <c r="BA731" s="158"/>
      <c r="BB731" s="158"/>
      <c r="BC731" s="158"/>
      <c r="BD731" s="158"/>
      <c r="BE731" s="158"/>
      <c r="BF731" s="158"/>
      <c r="BG731" s="158"/>
      <c r="BH731" s="158"/>
      <c r="BI731" s="158"/>
      <c r="BJ731" s="158"/>
      <c r="BK731" s="158"/>
      <c r="BL731" s="158"/>
      <c r="BM731" s="158"/>
      <c r="BN731" s="158"/>
      <c r="BO731" s="158"/>
      <c r="BP731" s="158"/>
      <c r="BQ731" s="158"/>
      <c r="BR731" s="158"/>
    </row>
    <row r="732">
      <c r="A732" s="158"/>
      <c r="B732" s="210"/>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c r="AW732" s="158"/>
      <c r="AX732" s="158"/>
      <c r="AY732" s="158"/>
      <c r="AZ732" s="158"/>
      <c r="BA732" s="158"/>
      <c r="BB732" s="158"/>
      <c r="BC732" s="158"/>
      <c r="BD732" s="158"/>
      <c r="BE732" s="158"/>
      <c r="BF732" s="158"/>
      <c r="BG732" s="158"/>
      <c r="BH732" s="158"/>
      <c r="BI732" s="158"/>
      <c r="BJ732" s="158"/>
      <c r="BK732" s="158"/>
      <c r="BL732" s="158"/>
      <c r="BM732" s="158"/>
      <c r="BN732" s="158"/>
      <c r="BO732" s="158"/>
      <c r="BP732" s="158"/>
      <c r="BQ732" s="158"/>
      <c r="BR732" s="158"/>
    </row>
    <row r="733">
      <c r="A733" s="158"/>
      <c r="B733" s="210"/>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c r="AW733" s="158"/>
      <c r="AX733" s="158"/>
      <c r="AY733" s="158"/>
      <c r="AZ733" s="158"/>
      <c r="BA733" s="158"/>
      <c r="BB733" s="158"/>
      <c r="BC733" s="158"/>
      <c r="BD733" s="158"/>
      <c r="BE733" s="158"/>
      <c r="BF733" s="158"/>
      <c r="BG733" s="158"/>
      <c r="BH733" s="158"/>
      <c r="BI733" s="158"/>
      <c r="BJ733" s="158"/>
      <c r="BK733" s="158"/>
      <c r="BL733" s="158"/>
      <c r="BM733" s="158"/>
      <c r="BN733" s="158"/>
      <c r="BO733" s="158"/>
      <c r="BP733" s="158"/>
      <c r="BQ733" s="158"/>
      <c r="BR733" s="158"/>
    </row>
    <row r="734">
      <c r="A734" s="158"/>
      <c r="B734" s="210"/>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c r="AW734" s="158"/>
      <c r="AX734" s="158"/>
      <c r="AY734" s="158"/>
      <c r="AZ734" s="158"/>
      <c r="BA734" s="158"/>
      <c r="BB734" s="158"/>
      <c r="BC734" s="158"/>
      <c r="BD734" s="158"/>
      <c r="BE734" s="158"/>
      <c r="BF734" s="158"/>
      <c r="BG734" s="158"/>
      <c r="BH734" s="158"/>
      <c r="BI734" s="158"/>
      <c r="BJ734" s="158"/>
      <c r="BK734" s="158"/>
      <c r="BL734" s="158"/>
      <c r="BM734" s="158"/>
      <c r="BN734" s="158"/>
      <c r="BO734" s="158"/>
      <c r="BP734" s="158"/>
      <c r="BQ734" s="158"/>
      <c r="BR734" s="158"/>
    </row>
    <row r="735">
      <c r="A735" s="158"/>
      <c r="B735" s="210"/>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c r="AW735" s="158"/>
      <c r="AX735" s="158"/>
      <c r="AY735" s="158"/>
      <c r="AZ735" s="158"/>
      <c r="BA735" s="158"/>
      <c r="BB735" s="158"/>
      <c r="BC735" s="158"/>
      <c r="BD735" s="158"/>
      <c r="BE735" s="158"/>
      <c r="BF735" s="158"/>
      <c r="BG735" s="158"/>
      <c r="BH735" s="158"/>
      <c r="BI735" s="158"/>
      <c r="BJ735" s="158"/>
      <c r="BK735" s="158"/>
      <c r="BL735" s="158"/>
      <c r="BM735" s="158"/>
      <c r="BN735" s="158"/>
      <c r="BO735" s="158"/>
      <c r="BP735" s="158"/>
      <c r="BQ735" s="158"/>
      <c r="BR735" s="158"/>
    </row>
    <row r="736">
      <c r="A736" s="158"/>
      <c r="B736" s="210"/>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c r="AW736" s="158"/>
      <c r="AX736" s="158"/>
      <c r="AY736" s="158"/>
      <c r="AZ736" s="158"/>
      <c r="BA736" s="158"/>
      <c r="BB736" s="158"/>
      <c r="BC736" s="158"/>
      <c r="BD736" s="158"/>
      <c r="BE736" s="158"/>
      <c r="BF736" s="158"/>
      <c r="BG736" s="158"/>
      <c r="BH736" s="158"/>
      <c r="BI736" s="158"/>
      <c r="BJ736" s="158"/>
      <c r="BK736" s="158"/>
      <c r="BL736" s="158"/>
      <c r="BM736" s="158"/>
      <c r="BN736" s="158"/>
      <c r="BO736" s="158"/>
      <c r="BP736" s="158"/>
      <c r="BQ736" s="158"/>
      <c r="BR736" s="158"/>
    </row>
    <row r="737">
      <c r="A737" s="158"/>
      <c r="B737" s="210"/>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c r="AW737" s="158"/>
      <c r="AX737" s="158"/>
      <c r="AY737" s="158"/>
      <c r="AZ737" s="158"/>
      <c r="BA737" s="158"/>
      <c r="BB737" s="158"/>
      <c r="BC737" s="158"/>
      <c r="BD737" s="158"/>
      <c r="BE737" s="158"/>
      <c r="BF737" s="158"/>
      <c r="BG737" s="158"/>
      <c r="BH737" s="158"/>
      <c r="BI737" s="158"/>
      <c r="BJ737" s="158"/>
      <c r="BK737" s="158"/>
      <c r="BL737" s="158"/>
      <c r="BM737" s="158"/>
      <c r="BN737" s="158"/>
      <c r="BO737" s="158"/>
      <c r="BP737" s="158"/>
      <c r="BQ737" s="158"/>
      <c r="BR737" s="158"/>
    </row>
    <row r="738">
      <c r="A738" s="158"/>
      <c r="B738" s="210"/>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c r="AW738" s="158"/>
      <c r="AX738" s="158"/>
      <c r="AY738" s="158"/>
      <c r="AZ738" s="158"/>
      <c r="BA738" s="158"/>
      <c r="BB738" s="158"/>
      <c r="BC738" s="158"/>
      <c r="BD738" s="158"/>
      <c r="BE738" s="158"/>
      <c r="BF738" s="158"/>
      <c r="BG738" s="158"/>
      <c r="BH738" s="158"/>
      <c r="BI738" s="158"/>
      <c r="BJ738" s="158"/>
      <c r="BK738" s="158"/>
      <c r="BL738" s="158"/>
      <c r="BM738" s="158"/>
      <c r="BN738" s="158"/>
      <c r="BO738" s="158"/>
      <c r="BP738" s="158"/>
      <c r="BQ738" s="158"/>
      <c r="BR738" s="158"/>
    </row>
    <row r="739">
      <c r="A739" s="158"/>
      <c r="B739" s="210"/>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c r="AW739" s="158"/>
      <c r="AX739" s="158"/>
      <c r="AY739" s="158"/>
      <c r="AZ739" s="158"/>
      <c r="BA739" s="158"/>
      <c r="BB739" s="158"/>
      <c r="BC739" s="158"/>
      <c r="BD739" s="158"/>
      <c r="BE739" s="158"/>
      <c r="BF739" s="158"/>
      <c r="BG739" s="158"/>
      <c r="BH739" s="158"/>
      <c r="BI739" s="158"/>
      <c r="BJ739" s="158"/>
      <c r="BK739" s="158"/>
      <c r="BL739" s="158"/>
      <c r="BM739" s="158"/>
      <c r="BN739" s="158"/>
      <c r="BO739" s="158"/>
      <c r="BP739" s="158"/>
      <c r="BQ739" s="158"/>
      <c r="BR739" s="158"/>
    </row>
    <row r="740">
      <c r="A740" s="158"/>
      <c r="B740" s="210"/>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c r="AW740" s="158"/>
      <c r="AX740" s="158"/>
      <c r="AY740" s="158"/>
      <c r="AZ740" s="158"/>
      <c r="BA740" s="158"/>
      <c r="BB740" s="158"/>
      <c r="BC740" s="158"/>
      <c r="BD740" s="158"/>
      <c r="BE740" s="158"/>
      <c r="BF740" s="158"/>
      <c r="BG740" s="158"/>
      <c r="BH740" s="158"/>
      <c r="BI740" s="158"/>
      <c r="BJ740" s="158"/>
      <c r="BK740" s="158"/>
      <c r="BL740" s="158"/>
      <c r="BM740" s="158"/>
      <c r="BN740" s="158"/>
      <c r="BO740" s="158"/>
      <c r="BP740" s="158"/>
      <c r="BQ740" s="158"/>
      <c r="BR740" s="158"/>
    </row>
    <row r="741">
      <c r="A741" s="158"/>
      <c r="B741" s="210"/>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c r="AW741" s="158"/>
      <c r="AX741" s="158"/>
      <c r="AY741" s="158"/>
      <c r="AZ741" s="158"/>
      <c r="BA741" s="158"/>
      <c r="BB741" s="158"/>
      <c r="BC741" s="158"/>
      <c r="BD741" s="158"/>
      <c r="BE741" s="158"/>
      <c r="BF741" s="158"/>
      <c r="BG741" s="158"/>
      <c r="BH741" s="158"/>
      <c r="BI741" s="158"/>
      <c r="BJ741" s="158"/>
      <c r="BK741" s="158"/>
      <c r="BL741" s="158"/>
      <c r="BM741" s="158"/>
      <c r="BN741" s="158"/>
      <c r="BO741" s="158"/>
      <c r="BP741" s="158"/>
      <c r="BQ741" s="158"/>
      <c r="BR741" s="158"/>
    </row>
    <row r="742">
      <c r="A742" s="158"/>
      <c r="B742" s="210"/>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c r="AW742" s="158"/>
      <c r="AX742" s="158"/>
      <c r="AY742" s="158"/>
      <c r="AZ742" s="158"/>
      <c r="BA742" s="158"/>
      <c r="BB742" s="158"/>
      <c r="BC742" s="158"/>
      <c r="BD742" s="158"/>
      <c r="BE742" s="158"/>
      <c r="BF742" s="158"/>
      <c r="BG742" s="158"/>
      <c r="BH742" s="158"/>
      <c r="BI742" s="158"/>
      <c r="BJ742" s="158"/>
      <c r="BK742" s="158"/>
      <c r="BL742" s="158"/>
      <c r="BM742" s="158"/>
      <c r="BN742" s="158"/>
      <c r="BO742" s="158"/>
      <c r="BP742" s="158"/>
      <c r="BQ742" s="158"/>
      <c r="BR742" s="158"/>
    </row>
    <row r="743">
      <c r="A743" s="158"/>
      <c r="B743" s="210"/>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c r="AW743" s="158"/>
      <c r="AX743" s="158"/>
      <c r="AY743" s="158"/>
      <c r="AZ743" s="158"/>
      <c r="BA743" s="158"/>
      <c r="BB743" s="158"/>
      <c r="BC743" s="158"/>
      <c r="BD743" s="158"/>
      <c r="BE743" s="158"/>
      <c r="BF743" s="158"/>
      <c r="BG743" s="158"/>
      <c r="BH743" s="158"/>
      <c r="BI743" s="158"/>
      <c r="BJ743" s="158"/>
      <c r="BK743" s="158"/>
      <c r="BL743" s="158"/>
      <c r="BM743" s="158"/>
      <c r="BN743" s="158"/>
      <c r="BO743" s="158"/>
      <c r="BP743" s="158"/>
      <c r="BQ743" s="158"/>
      <c r="BR743" s="158"/>
    </row>
    <row r="744">
      <c r="A744" s="158"/>
      <c r="B744" s="210"/>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c r="AW744" s="158"/>
      <c r="AX744" s="158"/>
      <c r="AY744" s="158"/>
      <c r="AZ744" s="158"/>
      <c r="BA744" s="158"/>
      <c r="BB744" s="158"/>
      <c r="BC744" s="158"/>
      <c r="BD744" s="158"/>
      <c r="BE744" s="158"/>
      <c r="BF744" s="158"/>
      <c r="BG744" s="158"/>
      <c r="BH744" s="158"/>
      <c r="BI744" s="158"/>
      <c r="BJ744" s="158"/>
      <c r="BK744" s="158"/>
      <c r="BL744" s="158"/>
      <c r="BM744" s="158"/>
      <c r="BN744" s="158"/>
      <c r="BO744" s="158"/>
      <c r="BP744" s="158"/>
      <c r="BQ744" s="158"/>
      <c r="BR744" s="158"/>
    </row>
    <row r="745">
      <c r="A745" s="158"/>
      <c r="B745" s="210"/>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c r="AW745" s="158"/>
      <c r="AX745" s="158"/>
      <c r="AY745" s="158"/>
      <c r="AZ745" s="158"/>
      <c r="BA745" s="158"/>
      <c r="BB745" s="158"/>
      <c r="BC745" s="158"/>
      <c r="BD745" s="158"/>
      <c r="BE745" s="158"/>
      <c r="BF745" s="158"/>
      <c r="BG745" s="158"/>
      <c r="BH745" s="158"/>
      <c r="BI745" s="158"/>
      <c r="BJ745" s="158"/>
      <c r="BK745" s="158"/>
      <c r="BL745" s="158"/>
      <c r="BM745" s="158"/>
      <c r="BN745" s="158"/>
      <c r="BO745" s="158"/>
      <c r="BP745" s="158"/>
      <c r="BQ745" s="158"/>
      <c r="BR745" s="158"/>
    </row>
    <row r="746">
      <c r="A746" s="158"/>
      <c r="B746" s="210"/>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c r="AW746" s="158"/>
      <c r="AX746" s="158"/>
      <c r="AY746" s="158"/>
      <c r="AZ746" s="158"/>
      <c r="BA746" s="158"/>
      <c r="BB746" s="158"/>
      <c r="BC746" s="158"/>
      <c r="BD746" s="158"/>
      <c r="BE746" s="158"/>
      <c r="BF746" s="158"/>
      <c r="BG746" s="158"/>
      <c r="BH746" s="158"/>
      <c r="BI746" s="158"/>
      <c r="BJ746" s="158"/>
      <c r="BK746" s="158"/>
      <c r="BL746" s="158"/>
      <c r="BM746" s="158"/>
      <c r="BN746" s="158"/>
      <c r="BO746" s="158"/>
      <c r="BP746" s="158"/>
      <c r="BQ746" s="158"/>
      <c r="BR746" s="158"/>
    </row>
    <row r="747">
      <c r="A747" s="158"/>
      <c r="B747" s="210"/>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c r="AW747" s="158"/>
      <c r="AX747" s="158"/>
      <c r="AY747" s="158"/>
      <c r="AZ747" s="158"/>
      <c r="BA747" s="158"/>
      <c r="BB747" s="158"/>
      <c r="BC747" s="158"/>
      <c r="BD747" s="158"/>
      <c r="BE747" s="158"/>
      <c r="BF747" s="158"/>
      <c r="BG747" s="158"/>
      <c r="BH747" s="158"/>
      <c r="BI747" s="158"/>
      <c r="BJ747" s="158"/>
      <c r="BK747" s="158"/>
      <c r="BL747" s="158"/>
      <c r="BM747" s="158"/>
      <c r="BN747" s="158"/>
      <c r="BO747" s="158"/>
      <c r="BP747" s="158"/>
      <c r="BQ747" s="158"/>
      <c r="BR747" s="158"/>
    </row>
    <row r="748">
      <c r="A748" s="158"/>
      <c r="B748" s="210"/>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c r="AW748" s="158"/>
      <c r="AX748" s="158"/>
      <c r="AY748" s="158"/>
      <c r="AZ748" s="158"/>
      <c r="BA748" s="158"/>
      <c r="BB748" s="158"/>
      <c r="BC748" s="158"/>
      <c r="BD748" s="158"/>
      <c r="BE748" s="158"/>
      <c r="BF748" s="158"/>
      <c r="BG748" s="158"/>
      <c r="BH748" s="158"/>
      <c r="BI748" s="158"/>
      <c r="BJ748" s="158"/>
      <c r="BK748" s="158"/>
      <c r="BL748" s="158"/>
      <c r="BM748" s="158"/>
      <c r="BN748" s="158"/>
      <c r="BO748" s="158"/>
      <c r="BP748" s="158"/>
      <c r="BQ748" s="158"/>
      <c r="BR748" s="158"/>
    </row>
    <row r="749">
      <c r="A749" s="158"/>
      <c r="B749" s="210"/>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c r="AW749" s="158"/>
      <c r="AX749" s="158"/>
      <c r="AY749" s="158"/>
      <c r="AZ749" s="158"/>
      <c r="BA749" s="158"/>
      <c r="BB749" s="158"/>
      <c r="BC749" s="158"/>
      <c r="BD749" s="158"/>
      <c r="BE749" s="158"/>
      <c r="BF749" s="158"/>
      <c r="BG749" s="158"/>
      <c r="BH749" s="158"/>
      <c r="BI749" s="158"/>
      <c r="BJ749" s="158"/>
      <c r="BK749" s="158"/>
      <c r="BL749" s="158"/>
      <c r="BM749" s="158"/>
      <c r="BN749" s="158"/>
      <c r="BO749" s="158"/>
      <c r="BP749" s="158"/>
      <c r="BQ749" s="158"/>
      <c r="BR749" s="158"/>
    </row>
    <row r="750">
      <c r="A750" s="158"/>
      <c r="B750" s="210"/>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c r="AW750" s="158"/>
      <c r="AX750" s="158"/>
      <c r="AY750" s="158"/>
      <c r="AZ750" s="158"/>
      <c r="BA750" s="158"/>
      <c r="BB750" s="158"/>
      <c r="BC750" s="158"/>
      <c r="BD750" s="158"/>
      <c r="BE750" s="158"/>
      <c r="BF750" s="158"/>
      <c r="BG750" s="158"/>
      <c r="BH750" s="158"/>
      <c r="BI750" s="158"/>
      <c r="BJ750" s="158"/>
      <c r="BK750" s="158"/>
      <c r="BL750" s="158"/>
      <c r="BM750" s="158"/>
      <c r="BN750" s="158"/>
      <c r="BO750" s="158"/>
      <c r="BP750" s="158"/>
      <c r="BQ750" s="158"/>
      <c r="BR750" s="158"/>
    </row>
    <row r="751">
      <c r="A751" s="158"/>
      <c r="B751" s="210"/>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c r="AW751" s="158"/>
      <c r="AX751" s="158"/>
      <c r="AY751" s="158"/>
      <c r="AZ751" s="158"/>
      <c r="BA751" s="158"/>
      <c r="BB751" s="158"/>
      <c r="BC751" s="158"/>
      <c r="BD751" s="158"/>
      <c r="BE751" s="158"/>
      <c r="BF751" s="158"/>
      <c r="BG751" s="158"/>
      <c r="BH751" s="158"/>
      <c r="BI751" s="158"/>
      <c r="BJ751" s="158"/>
      <c r="BK751" s="158"/>
      <c r="BL751" s="158"/>
      <c r="BM751" s="158"/>
      <c r="BN751" s="158"/>
      <c r="BO751" s="158"/>
      <c r="BP751" s="158"/>
      <c r="BQ751" s="158"/>
      <c r="BR751" s="158"/>
    </row>
    <row r="752">
      <c r="A752" s="158"/>
      <c r="B752" s="210"/>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c r="AW752" s="158"/>
      <c r="AX752" s="158"/>
      <c r="AY752" s="158"/>
      <c r="AZ752" s="158"/>
      <c r="BA752" s="158"/>
      <c r="BB752" s="158"/>
      <c r="BC752" s="158"/>
      <c r="BD752" s="158"/>
      <c r="BE752" s="158"/>
      <c r="BF752" s="158"/>
      <c r="BG752" s="158"/>
      <c r="BH752" s="158"/>
      <c r="BI752" s="158"/>
      <c r="BJ752" s="158"/>
      <c r="BK752" s="158"/>
      <c r="BL752" s="158"/>
      <c r="BM752" s="158"/>
      <c r="BN752" s="158"/>
      <c r="BO752" s="158"/>
      <c r="BP752" s="158"/>
      <c r="BQ752" s="158"/>
      <c r="BR752" s="158"/>
    </row>
    <row r="753">
      <c r="A753" s="158"/>
      <c r="B753" s="210"/>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c r="AW753" s="158"/>
      <c r="AX753" s="158"/>
      <c r="AY753" s="158"/>
      <c r="AZ753" s="158"/>
      <c r="BA753" s="158"/>
      <c r="BB753" s="158"/>
      <c r="BC753" s="158"/>
      <c r="BD753" s="158"/>
      <c r="BE753" s="158"/>
      <c r="BF753" s="158"/>
      <c r="BG753" s="158"/>
      <c r="BH753" s="158"/>
      <c r="BI753" s="158"/>
      <c r="BJ753" s="158"/>
      <c r="BK753" s="158"/>
      <c r="BL753" s="158"/>
      <c r="BM753" s="158"/>
      <c r="BN753" s="158"/>
      <c r="BO753" s="158"/>
      <c r="BP753" s="158"/>
      <c r="BQ753" s="158"/>
      <c r="BR753" s="158"/>
    </row>
    <row r="754">
      <c r="A754" s="158"/>
      <c r="B754" s="210"/>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c r="AW754" s="158"/>
      <c r="AX754" s="158"/>
      <c r="AY754" s="158"/>
      <c r="AZ754" s="158"/>
      <c r="BA754" s="158"/>
      <c r="BB754" s="158"/>
      <c r="BC754" s="158"/>
      <c r="BD754" s="158"/>
      <c r="BE754" s="158"/>
      <c r="BF754" s="158"/>
      <c r="BG754" s="158"/>
      <c r="BH754" s="158"/>
      <c r="BI754" s="158"/>
      <c r="BJ754" s="158"/>
      <c r="BK754" s="158"/>
      <c r="BL754" s="158"/>
      <c r="BM754" s="158"/>
      <c r="BN754" s="158"/>
      <c r="BO754" s="158"/>
      <c r="BP754" s="158"/>
      <c r="BQ754" s="158"/>
      <c r="BR754" s="158"/>
    </row>
    <row r="755">
      <c r="A755" s="158"/>
      <c r="B755" s="210"/>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c r="AW755" s="158"/>
      <c r="AX755" s="158"/>
      <c r="AY755" s="158"/>
      <c r="AZ755" s="158"/>
      <c r="BA755" s="158"/>
      <c r="BB755" s="158"/>
      <c r="BC755" s="158"/>
      <c r="BD755" s="158"/>
      <c r="BE755" s="158"/>
      <c r="BF755" s="158"/>
      <c r="BG755" s="158"/>
      <c r="BH755" s="158"/>
      <c r="BI755" s="158"/>
      <c r="BJ755" s="158"/>
      <c r="BK755" s="158"/>
      <c r="BL755" s="158"/>
      <c r="BM755" s="158"/>
      <c r="BN755" s="158"/>
      <c r="BO755" s="158"/>
      <c r="BP755" s="158"/>
      <c r="BQ755" s="158"/>
      <c r="BR755" s="158"/>
    </row>
    <row r="756">
      <c r="A756" s="158"/>
      <c r="B756" s="210"/>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c r="AW756" s="158"/>
      <c r="AX756" s="158"/>
      <c r="AY756" s="158"/>
      <c r="AZ756" s="158"/>
      <c r="BA756" s="158"/>
      <c r="BB756" s="158"/>
      <c r="BC756" s="158"/>
      <c r="BD756" s="158"/>
      <c r="BE756" s="158"/>
      <c r="BF756" s="158"/>
      <c r="BG756" s="158"/>
      <c r="BH756" s="158"/>
      <c r="BI756" s="158"/>
      <c r="BJ756" s="158"/>
      <c r="BK756" s="158"/>
      <c r="BL756" s="158"/>
      <c r="BM756" s="158"/>
      <c r="BN756" s="158"/>
      <c r="BO756" s="158"/>
      <c r="BP756" s="158"/>
      <c r="BQ756" s="158"/>
      <c r="BR756" s="158"/>
    </row>
    <row r="757">
      <c r="A757" s="158"/>
      <c r="B757" s="210"/>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c r="AW757" s="158"/>
      <c r="AX757" s="158"/>
      <c r="AY757" s="158"/>
      <c r="AZ757" s="158"/>
      <c r="BA757" s="158"/>
      <c r="BB757" s="158"/>
      <c r="BC757" s="158"/>
      <c r="BD757" s="158"/>
      <c r="BE757" s="158"/>
      <c r="BF757" s="158"/>
      <c r="BG757" s="158"/>
      <c r="BH757" s="158"/>
      <c r="BI757" s="158"/>
      <c r="BJ757" s="158"/>
      <c r="BK757" s="158"/>
      <c r="BL757" s="158"/>
      <c r="BM757" s="158"/>
      <c r="BN757" s="158"/>
      <c r="BO757" s="158"/>
      <c r="BP757" s="158"/>
      <c r="BQ757" s="158"/>
      <c r="BR757" s="158"/>
    </row>
    <row r="758">
      <c r="A758" s="158"/>
      <c r="B758" s="210"/>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c r="AW758" s="158"/>
      <c r="AX758" s="158"/>
      <c r="AY758" s="158"/>
      <c r="AZ758" s="158"/>
      <c r="BA758" s="158"/>
      <c r="BB758" s="158"/>
      <c r="BC758" s="158"/>
      <c r="BD758" s="158"/>
      <c r="BE758" s="158"/>
      <c r="BF758" s="158"/>
      <c r="BG758" s="158"/>
      <c r="BH758" s="158"/>
      <c r="BI758" s="158"/>
      <c r="BJ758" s="158"/>
      <c r="BK758" s="158"/>
      <c r="BL758" s="158"/>
      <c r="BM758" s="158"/>
      <c r="BN758" s="158"/>
      <c r="BO758" s="158"/>
      <c r="BP758" s="158"/>
      <c r="BQ758" s="158"/>
      <c r="BR758" s="158"/>
    </row>
    <row r="759">
      <c r="A759" s="158"/>
      <c r="B759" s="210"/>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c r="AW759" s="158"/>
      <c r="AX759" s="158"/>
      <c r="AY759" s="158"/>
      <c r="AZ759" s="158"/>
      <c r="BA759" s="158"/>
      <c r="BB759" s="158"/>
      <c r="BC759" s="158"/>
      <c r="BD759" s="158"/>
      <c r="BE759" s="158"/>
      <c r="BF759" s="158"/>
      <c r="BG759" s="158"/>
      <c r="BH759" s="158"/>
      <c r="BI759" s="158"/>
      <c r="BJ759" s="158"/>
      <c r="BK759" s="158"/>
      <c r="BL759" s="158"/>
      <c r="BM759" s="158"/>
      <c r="BN759" s="158"/>
      <c r="BO759" s="158"/>
      <c r="BP759" s="158"/>
      <c r="BQ759" s="158"/>
      <c r="BR759" s="158"/>
    </row>
    <row r="760">
      <c r="A760" s="158"/>
      <c r="B760" s="210"/>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c r="AW760" s="158"/>
      <c r="AX760" s="158"/>
      <c r="AY760" s="158"/>
      <c r="AZ760" s="158"/>
      <c r="BA760" s="158"/>
      <c r="BB760" s="158"/>
      <c r="BC760" s="158"/>
      <c r="BD760" s="158"/>
      <c r="BE760" s="158"/>
      <c r="BF760" s="158"/>
      <c r="BG760" s="158"/>
      <c r="BH760" s="158"/>
      <c r="BI760" s="158"/>
      <c r="BJ760" s="158"/>
      <c r="BK760" s="158"/>
      <c r="BL760" s="158"/>
      <c r="BM760" s="158"/>
      <c r="BN760" s="158"/>
      <c r="BO760" s="158"/>
      <c r="BP760" s="158"/>
      <c r="BQ760" s="158"/>
      <c r="BR760" s="158"/>
    </row>
    <row r="761">
      <c r="A761" s="158"/>
      <c r="B761" s="210"/>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c r="AW761" s="158"/>
      <c r="AX761" s="158"/>
      <c r="AY761" s="158"/>
      <c r="AZ761" s="158"/>
      <c r="BA761" s="158"/>
      <c r="BB761" s="158"/>
      <c r="BC761" s="158"/>
      <c r="BD761" s="158"/>
      <c r="BE761" s="158"/>
      <c r="BF761" s="158"/>
      <c r="BG761" s="158"/>
      <c r="BH761" s="158"/>
      <c r="BI761" s="158"/>
      <c r="BJ761" s="158"/>
      <c r="BK761" s="158"/>
      <c r="BL761" s="158"/>
      <c r="BM761" s="158"/>
      <c r="BN761" s="158"/>
      <c r="BO761" s="158"/>
      <c r="BP761" s="158"/>
      <c r="BQ761" s="158"/>
      <c r="BR761" s="158"/>
    </row>
    <row r="762">
      <c r="A762" s="158"/>
      <c r="B762" s="210"/>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c r="AW762" s="158"/>
      <c r="AX762" s="158"/>
      <c r="AY762" s="158"/>
      <c r="AZ762" s="158"/>
      <c r="BA762" s="158"/>
      <c r="BB762" s="158"/>
      <c r="BC762" s="158"/>
      <c r="BD762" s="158"/>
      <c r="BE762" s="158"/>
      <c r="BF762" s="158"/>
      <c r="BG762" s="158"/>
      <c r="BH762" s="158"/>
      <c r="BI762" s="158"/>
      <c r="BJ762" s="158"/>
      <c r="BK762" s="158"/>
      <c r="BL762" s="158"/>
      <c r="BM762" s="158"/>
      <c r="BN762" s="158"/>
      <c r="BO762" s="158"/>
      <c r="BP762" s="158"/>
      <c r="BQ762" s="158"/>
      <c r="BR762" s="158"/>
    </row>
    <row r="763">
      <c r="A763" s="158"/>
      <c r="B763" s="210"/>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c r="AW763" s="158"/>
      <c r="AX763" s="158"/>
      <c r="AY763" s="158"/>
      <c r="AZ763" s="158"/>
      <c r="BA763" s="158"/>
      <c r="BB763" s="158"/>
      <c r="BC763" s="158"/>
      <c r="BD763" s="158"/>
      <c r="BE763" s="158"/>
      <c r="BF763" s="158"/>
      <c r="BG763" s="158"/>
      <c r="BH763" s="158"/>
      <c r="BI763" s="158"/>
      <c r="BJ763" s="158"/>
      <c r="BK763" s="158"/>
      <c r="BL763" s="158"/>
      <c r="BM763" s="158"/>
      <c r="BN763" s="158"/>
      <c r="BO763" s="158"/>
      <c r="BP763" s="158"/>
      <c r="BQ763" s="158"/>
      <c r="BR763" s="158"/>
    </row>
    <row r="764">
      <c r="A764" s="158"/>
      <c r="B764" s="210"/>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c r="AW764" s="158"/>
      <c r="AX764" s="158"/>
      <c r="AY764" s="158"/>
      <c r="AZ764" s="158"/>
      <c r="BA764" s="158"/>
      <c r="BB764" s="158"/>
      <c r="BC764" s="158"/>
      <c r="BD764" s="158"/>
      <c r="BE764" s="158"/>
      <c r="BF764" s="158"/>
      <c r="BG764" s="158"/>
      <c r="BH764" s="158"/>
      <c r="BI764" s="158"/>
      <c r="BJ764" s="158"/>
      <c r="BK764" s="158"/>
      <c r="BL764" s="158"/>
      <c r="BM764" s="158"/>
      <c r="BN764" s="158"/>
      <c r="BO764" s="158"/>
      <c r="BP764" s="158"/>
      <c r="BQ764" s="158"/>
      <c r="BR764" s="158"/>
    </row>
    <row r="765">
      <c r="A765" s="158"/>
      <c r="B765" s="210"/>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c r="AW765" s="158"/>
      <c r="AX765" s="158"/>
      <c r="AY765" s="158"/>
      <c r="AZ765" s="158"/>
      <c r="BA765" s="158"/>
      <c r="BB765" s="158"/>
      <c r="BC765" s="158"/>
      <c r="BD765" s="158"/>
      <c r="BE765" s="158"/>
      <c r="BF765" s="158"/>
      <c r="BG765" s="158"/>
      <c r="BH765" s="158"/>
      <c r="BI765" s="158"/>
      <c r="BJ765" s="158"/>
      <c r="BK765" s="158"/>
      <c r="BL765" s="158"/>
      <c r="BM765" s="158"/>
      <c r="BN765" s="158"/>
      <c r="BO765" s="158"/>
      <c r="BP765" s="158"/>
      <c r="BQ765" s="158"/>
      <c r="BR765" s="158"/>
    </row>
    <row r="766">
      <c r="A766" s="158"/>
      <c r="B766" s="210"/>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c r="AW766" s="158"/>
      <c r="AX766" s="158"/>
      <c r="AY766" s="158"/>
      <c r="AZ766" s="158"/>
      <c r="BA766" s="158"/>
      <c r="BB766" s="158"/>
      <c r="BC766" s="158"/>
      <c r="BD766" s="158"/>
      <c r="BE766" s="158"/>
      <c r="BF766" s="158"/>
      <c r="BG766" s="158"/>
      <c r="BH766" s="158"/>
      <c r="BI766" s="158"/>
      <c r="BJ766" s="158"/>
      <c r="BK766" s="158"/>
      <c r="BL766" s="158"/>
      <c r="BM766" s="158"/>
      <c r="BN766" s="158"/>
      <c r="BO766" s="158"/>
      <c r="BP766" s="158"/>
      <c r="BQ766" s="158"/>
      <c r="BR766" s="158"/>
    </row>
    <row r="767">
      <c r="A767" s="158"/>
      <c r="B767" s="210"/>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c r="AW767" s="158"/>
      <c r="AX767" s="158"/>
      <c r="AY767" s="158"/>
      <c r="AZ767" s="158"/>
      <c r="BA767" s="158"/>
      <c r="BB767" s="158"/>
      <c r="BC767" s="158"/>
      <c r="BD767" s="158"/>
      <c r="BE767" s="158"/>
      <c r="BF767" s="158"/>
      <c r="BG767" s="158"/>
      <c r="BH767" s="158"/>
      <c r="BI767" s="158"/>
      <c r="BJ767" s="158"/>
      <c r="BK767" s="158"/>
      <c r="BL767" s="158"/>
      <c r="BM767" s="158"/>
      <c r="BN767" s="158"/>
      <c r="BO767" s="158"/>
      <c r="BP767" s="158"/>
      <c r="BQ767" s="158"/>
      <c r="BR767" s="158"/>
    </row>
    <row r="768">
      <c r="A768" s="158"/>
      <c r="B768" s="210"/>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c r="AW768" s="158"/>
      <c r="AX768" s="158"/>
      <c r="AY768" s="158"/>
      <c r="AZ768" s="158"/>
      <c r="BA768" s="158"/>
      <c r="BB768" s="158"/>
      <c r="BC768" s="158"/>
      <c r="BD768" s="158"/>
      <c r="BE768" s="158"/>
      <c r="BF768" s="158"/>
      <c r="BG768" s="158"/>
      <c r="BH768" s="158"/>
      <c r="BI768" s="158"/>
      <c r="BJ768" s="158"/>
      <c r="BK768" s="158"/>
      <c r="BL768" s="158"/>
      <c r="BM768" s="158"/>
      <c r="BN768" s="158"/>
      <c r="BO768" s="158"/>
      <c r="BP768" s="158"/>
      <c r="BQ768" s="158"/>
      <c r="BR768" s="158"/>
    </row>
    <row r="769">
      <c r="A769" s="158"/>
      <c r="B769" s="210"/>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c r="AW769" s="158"/>
      <c r="AX769" s="158"/>
      <c r="AY769" s="158"/>
      <c r="AZ769" s="158"/>
      <c r="BA769" s="158"/>
      <c r="BB769" s="158"/>
      <c r="BC769" s="158"/>
      <c r="BD769" s="158"/>
      <c r="BE769" s="158"/>
      <c r="BF769" s="158"/>
      <c r="BG769" s="158"/>
      <c r="BH769" s="158"/>
      <c r="BI769" s="158"/>
      <c r="BJ769" s="158"/>
      <c r="BK769" s="158"/>
      <c r="BL769" s="158"/>
      <c r="BM769" s="158"/>
      <c r="BN769" s="158"/>
      <c r="BO769" s="158"/>
      <c r="BP769" s="158"/>
      <c r="BQ769" s="158"/>
      <c r="BR769" s="158"/>
    </row>
    <row r="770">
      <c r="A770" s="158"/>
      <c r="B770" s="210"/>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c r="AW770" s="158"/>
      <c r="AX770" s="158"/>
      <c r="AY770" s="158"/>
      <c r="AZ770" s="158"/>
      <c r="BA770" s="158"/>
      <c r="BB770" s="158"/>
      <c r="BC770" s="158"/>
      <c r="BD770" s="158"/>
      <c r="BE770" s="158"/>
      <c r="BF770" s="158"/>
      <c r="BG770" s="158"/>
      <c r="BH770" s="158"/>
      <c r="BI770" s="158"/>
      <c r="BJ770" s="158"/>
      <c r="BK770" s="158"/>
      <c r="BL770" s="158"/>
      <c r="BM770" s="158"/>
      <c r="BN770" s="158"/>
      <c r="BO770" s="158"/>
      <c r="BP770" s="158"/>
      <c r="BQ770" s="158"/>
      <c r="BR770" s="158"/>
    </row>
    <row r="771">
      <c r="A771" s="158"/>
      <c r="B771" s="210"/>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c r="AW771" s="158"/>
      <c r="AX771" s="158"/>
      <c r="AY771" s="158"/>
      <c r="AZ771" s="158"/>
      <c r="BA771" s="158"/>
      <c r="BB771" s="158"/>
      <c r="BC771" s="158"/>
      <c r="BD771" s="158"/>
      <c r="BE771" s="158"/>
      <c r="BF771" s="158"/>
      <c r="BG771" s="158"/>
      <c r="BH771" s="158"/>
      <c r="BI771" s="158"/>
      <c r="BJ771" s="158"/>
      <c r="BK771" s="158"/>
      <c r="BL771" s="158"/>
      <c r="BM771" s="158"/>
      <c r="BN771" s="158"/>
      <c r="BO771" s="158"/>
      <c r="BP771" s="158"/>
      <c r="BQ771" s="158"/>
      <c r="BR771" s="158"/>
    </row>
    <row r="772">
      <c r="A772" s="158"/>
      <c r="B772" s="210"/>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c r="AW772" s="158"/>
      <c r="AX772" s="158"/>
      <c r="AY772" s="158"/>
      <c r="AZ772" s="158"/>
      <c r="BA772" s="158"/>
      <c r="BB772" s="158"/>
      <c r="BC772" s="158"/>
      <c r="BD772" s="158"/>
      <c r="BE772" s="158"/>
      <c r="BF772" s="158"/>
      <c r="BG772" s="158"/>
      <c r="BH772" s="158"/>
      <c r="BI772" s="158"/>
      <c r="BJ772" s="158"/>
      <c r="BK772" s="158"/>
      <c r="BL772" s="158"/>
      <c r="BM772" s="158"/>
      <c r="BN772" s="158"/>
      <c r="BO772" s="158"/>
      <c r="BP772" s="158"/>
      <c r="BQ772" s="158"/>
      <c r="BR772" s="158"/>
    </row>
    <row r="773">
      <c r="A773" s="158"/>
      <c r="B773" s="210"/>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c r="AW773" s="158"/>
      <c r="AX773" s="158"/>
      <c r="AY773" s="158"/>
      <c r="AZ773" s="158"/>
      <c r="BA773" s="158"/>
      <c r="BB773" s="158"/>
      <c r="BC773" s="158"/>
      <c r="BD773" s="158"/>
      <c r="BE773" s="158"/>
      <c r="BF773" s="158"/>
      <c r="BG773" s="158"/>
      <c r="BH773" s="158"/>
      <c r="BI773" s="158"/>
      <c r="BJ773" s="158"/>
      <c r="BK773" s="158"/>
      <c r="BL773" s="158"/>
      <c r="BM773" s="158"/>
      <c r="BN773" s="158"/>
      <c r="BO773" s="158"/>
      <c r="BP773" s="158"/>
      <c r="BQ773" s="158"/>
      <c r="BR773" s="158"/>
    </row>
    <row r="774">
      <c r="A774" s="158"/>
      <c r="B774" s="210"/>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c r="AW774" s="158"/>
      <c r="AX774" s="158"/>
      <c r="AY774" s="158"/>
      <c r="AZ774" s="158"/>
      <c r="BA774" s="158"/>
      <c r="BB774" s="158"/>
      <c r="BC774" s="158"/>
      <c r="BD774" s="158"/>
      <c r="BE774" s="158"/>
      <c r="BF774" s="158"/>
      <c r="BG774" s="158"/>
      <c r="BH774" s="158"/>
      <c r="BI774" s="158"/>
      <c r="BJ774" s="158"/>
      <c r="BK774" s="158"/>
      <c r="BL774" s="158"/>
      <c r="BM774" s="158"/>
      <c r="BN774" s="158"/>
      <c r="BO774" s="158"/>
      <c r="BP774" s="158"/>
      <c r="BQ774" s="158"/>
      <c r="BR774" s="158"/>
    </row>
    <row r="775">
      <c r="A775" s="158"/>
      <c r="B775" s="210"/>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c r="AW775" s="158"/>
      <c r="AX775" s="158"/>
      <c r="AY775" s="158"/>
      <c r="AZ775" s="158"/>
      <c r="BA775" s="158"/>
      <c r="BB775" s="158"/>
      <c r="BC775" s="158"/>
      <c r="BD775" s="158"/>
      <c r="BE775" s="158"/>
      <c r="BF775" s="158"/>
      <c r="BG775" s="158"/>
      <c r="BH775" s="158"/>
      <c r="BI775" s="158"/>
      <c r="BJ775" s="158"/>
      <c r="BK775" s="158"/>
      <c r="BL775" s="158"/>
      <c r="BM775" s="158"/>
      <c r="BN775" s="158"/>
      <c r="BO775" s="158"/>
      <c r="BP775" s="158"/>
      <c r="BQ775" s="158"/>
      <c r="BR775" s="158"/>
    </row>
    <row r="776">
      <c r="A776" s="158"/>
      <c r="B776" s="210"/>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c r="AW776" s="158"/>
      <c r="AX776" s="158"/>
      <c r="AY776" s="158"/>
      <c r="AZ776" s="158"/>
      <c r="BA776" s="158"/>
      <c r="BB776" s="158"/>
      <c r="BC776" s="158"/>
      <c r="BD776" s="158"/>
      <c r="BE776" s="158"/>
      <c r="BF776" s="158"/>
      <c r="BG776" s="158"/>
      <c r="BH776" s="158"/>
      <c r="BI776" s="158"/>
      <c r="BJ776" s="158"/>
      <c r="BK776" s="158"/>
      <c r="BL776" s="158"/>
      <c r="BM776" s="158"/>
      <c r="BN776" s="158"/>
      <c r="BO776" s="158"/>
      <c r="BP776" s="158"/>
      <c r="BQ776" s="158"/>
      <c r="BR776" s="158"/>
    </row>
    <row r="777">
      <c r="A777" s="158"/>
      <c r="B777" s="210"/>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c r="AW777" s="158"/>
      <c r="AX777" s="158"/>
      <c r="AY777" s="158"/>
      <c r="AZ777" s="158"/>
      <c r="BA777" s="158"/>
      <c r="BB777" s="158"/>
      <c r="BC777" s="158"/>
      <c r="BD777" s="158"/>
      <c r="BE777" s="158"/>
      <c r="BF777" s="158"/>
      <c r="BG777" s="158"/>
      <c r="BH777" s="158"/>
      <c r="BI777" s="158"/>
      <c r="BJ777" s="158"/>
      <c r="BK777" s="158"/>
      <c r="BL777" s="158"/>
      <c r="BM777" s="158"/>
      <c r="BN777" s="158"/>
      <c r="BO777" s="158"/>
      <c r="BP777" s="158"/>
      <c r="BQ777" s="158"/>
      <c r="BR777" s="158"/>
    </row>
    <row r="778">
      <c r="A778" s="158"/>
      <c r="B778" s="210"/>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c r="AW778" s="158"/>
      <c r="AX778" s="158"/>
      <c r="AY778" s="158"/>
      <c r="AZ778" s="158"/>
      <c r="BA778" s="158"/>
      <c r="BB778" s="158"/>
      <c r="BC778" s="158"/>
      <c r="BD778" s="158"/>
      <c r="BE778" s="158"/>
      <c r="BF778" s="158"/>
      <c r="BG778" s="158"/>
      <c r="BH778" s="158"/>
      <c r="BI778" s="158"/>
      <c r="BJ778" s="158"/>
      <c r="BK778" s="158"/>
      <c r="BL778" s="158"/>
      <c r="BM778" s="158"/>
      <c r="BN778" s="158"/>
      <c r="BO778" s="158"/>
      <c r="BP778" s="158"/>
      <c r="BQ778" s="158"/>
      <c r="BR778" s="158"/>
    </row>
    <row r="779">
      <c r="A779" s="158"/>
      <c r="B779" s="210"/>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c r="AW779" s="158"/>
      <c r="AX779" s="158"/>
      <c r="AY779" s="158"/>
      <c r="AZ779" s="158"/>
      <c r="BA779" s="158"/>
      <c r="BB779" s="158"/>
      <c r="BC779" s="158"/>
      <c r="BD779" s="158"/>
      <c r="BE779" s="158"/>
      <c r="BF779" s="158"/>
      <c r="BG779" s="158"/>
      <c r="BH779" s="158"/>
      <c r="BI779" s="158"/>
      <c r="BJ779" s="158"/>
      <c r="BK779" s="158"/>
      <c r="BL779" s="158"/>
      <c r="BM779" s="158"/>
      <c r="BN779" s="158"/>
      <c r="BO779" s="158"/>
      <c r="BP779" s="158"/>
      <c r="BQ779" s="158"/>
      <c r="BR779" s="158"/>
    </row>
    <row r="780">
      <c r="A780" s="158"/>
      <c r="B780" s="210"/>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c r="AW780" s="158"/>
      <c r="AX780" s="158"/>
      <c r="AY780" s="158"/>
      <c r="AZ780" s="158"/>
      <c r="BA780" s="158"/>
      <c r="BB780" s="158"/>
      <c r="BC780" s="158"/>
      <c r="BD780" s="158"/>
      <c r="BE780" s="158"/>
      <c r="BF780" s="158"/>
      <c r="BG780" s="158"/>
      <c r="BH780" s="158"/>
      <c r="BI780" s="158"/>
      <c r="BJ780" s="158"/>
      <c r="BK780" s="158"/>
      <c r="BL780" s="158"/>
      <c r="BM780" s="158"/>
      <c r="BN780" s="158"/>
      <c r="BO780" s="158"/>
      <c r="BP780" s="158"/>
      <c r="BQ780" s="158"/>
      <c r="BR780" s="158"/>
    </row>
    <row r="781">
      <c r="A781" s="158"/>
      <c r="B781" s="210"/>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c r="AW781" s="158"/>
      <c r="AX781" s="158"/>
      <c r="AY781" s="158"/>
      <c r="AZ781" s="158"/>
      <c r="BA781" s="158"/>
      <c r="BB781" s="158"/>
      <c r="BC781" s="158"/>
      <c r="BD781" s="158"/>
      <c r="BE781" s="158"/>
      <c r="BF781" s="158"/>
      <c r="BG781" s="158"/>
      <c r="BH781" s="158"/>
      <c r="BI781" s="158"/>
      <c r="BJ781" s="158"/>
      <c r="BK781" s="158"/>
      <c r="BL781" s="158"/>
      <c r="BM781" s="158"/>
      <c r="BN781" s="158"/>
      <c r="BO781" s="158"/>
      <c r="BP781" s="158"/>
      <c r="BQ781" s="158"/>
      <c r="BR781" s="158"/>
    </row>
    <row r="782">
      <c r="A782" s="158"/>
      <c r="B782" s="210"/>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c r="AW782" s="158"/>
      <c r="AX782" s="158"/>
      <c r="AY782" s="158"/>
      <c r="AZ782" s="158"/>
      <c r="BA782" s="158"/>
      <c r="BB782" s="158"/>
      <c r="BC782" s="158"/>
      <c r="BD782" s="158"/>
      <c r="BE782" s="158"/>
      <c r="BF782" s="158"/>
      <c r="BG782" s="158"/>
      <c r="BH782" s="158"/>
      <c r="BI782" s="158"/>
      <c r="BJ782" s="158"/>
      <c r="BK782" s="158"/>
      <c r="BL782" s="158"/>
      <c r="BM782" s="158"/>
      <c r="BN782" s="158"/>
      <c r="BO782" s="158"/>
      <c r="BP782" s="158"/>
      <c r="BQ782" s="158"/>
      <c r="BR782" s="158"/>
    </row>
    <row r="783">
      <c r="A783" s="158"/>
      <c r="B783" s="210"/>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c r="AW783" s="158"/>
      <c r="AX783" s="158"/>
      <c r="AY783" s="158"/>
      <c r="AZ783" s="158"/>
      <c r="BA783" s="158"/>
      <c r="BB783" s="158"/>
      <c r="BC783" s="158"/>
      <c r="BD783" s="158"/>
      <c r="BE783" s="158"/>
      <c r="BF783" s="158"/>
      <c r="BG783" s="158"/>
      <c r="BH783" s="158"/>
      <c r="BI783" s="158"/>
      <c r="BJ783" s="158"/>
      <c r="BK783" s="158"/>
      <c r="BL783" s="158"/>
      <c r="BM783" s="158"/>
      <c r="BN783" s="158"/>
      <c r="BO783" s="158"/>
      <c r="BP783" s="158"/>
      <c r="BQ783" s="158"/>
      <c r="BR783" s="158"/>
    </row>
    <row r="784">
      <c r="A784" s="158"/>
      <c r="B784" s="210"/>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c r="AW784" s="158"/>
      <c r="AX784" s="158"/>
      <c r="AY784" s="158"/>
      <c r="AZ784" s="158"/>
      <c r="BA784" s="158"/>
      <c r="BB784" s="158"/>
      <c r="BC784" s="158"/>
      <c r="BD784" s="158"/>
      <c r="BE784" s="158"/>
      <c r="BF784" s="158"/>
      <c r="BG784" s="158"/>
      <c r="BH784" s="158"/>
      <c r="BI784" s="158"/>
      <c r="BJ784" s="158"/>
      <c r="BK784" s="158"/>
      <c r="BL784" s="158"/>
      <c r="BM784" s="158"/>
      <c r="BN784" s="158"/>
      <c r="BO784" s="158"/>
      <c r="BP784" s="158"/>
      <c r="BQ784" s="158"/>
      <c r="BR784" s="158"/>
    </row>
    <row r="785">
      <c r="A785" s="158"/>
      <c r="B785" s="210"/>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c r="AW785" s="158"/>
      <c r="AX785" s="158"/>
      <c r="AY785" s="158"/>
      <c r="AZ785" s="158"/>
      <c r="BA785" s="158"/>
      <c r="BB785" s="158"/>
      <c r="BC785" s="158"/>
      <c r="BD785" s="158"/>
      <c r="BE785" s="158"/>
      <c r="BF785" s="158"/>
      <c r="BG785" s="158"/>
      <c r="BH785" s="158"/>
      <c r="BI785" s="158"/>
      <c r="BJ785" s="158"/>
      <c r="BK785" s="158"/>
      <c r="BL785" s="158"/>
      <c r="BM785" s="158"/>
      <c r="BN785" s="158"/>
      <c r="BO785" s="158"/>
      <c r="BP785" s="158"/>
      <c r="BQ785" s="158"/>
      <c r="BR785" s="158"/>
    </row>
    <row r="786">
      <c r="A786" s="158"/>
      <c r="B786" s="210"/>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c r="AW786" s="158"/>
      <c r="AX786" s="158"/>
      <c r="AY786" s="158"/>
      <c r="AZ786" s="158"/>
      <c r="BA786" s="158"/>
      <c r="BB786" s="158"/>
      <c r="BC786" s="158"/>
      <c r="BD786" s="158"/>
      <c r="BE786" s="158"/>
      <c r="BF786" s="158"/>
      <c r="BG786" s="158"/>
      <c r="BH786" s="158"/>
      <c r="BI786" s="158"/>
      <c r="BJ786" s="158"/>
      <c r="BK786" s="158"/>
      <c r="BL786" s="158"/>
      <c r="BM786" s="158"/>
      <c r="BN786" s="158"/>
      <c r="BO786" s="158"/>
      <c r="BP786" s="158"/>
      <c r="BQ786" s="158"/>
      <c r="BR786" s="158"/>
    </row>
    <row r="787">
      <c r="A787" s="158"/>
      <c r="B787" s="210"/>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c r="AW787" s="158"/>
      <c r="AX787" s="158"/>
      <c r="AY787" s="158"/>
      <c r="AZ787" s="158"/>
      <c r="BA787" s="158"/>
      <c r="BB787" s="158"/>
      <c r="BC787" s="158"/>
      <c r="BD787" s="158"/>
      <c r="BE787" s="158"/>
      <c r="BF787" s="158"/>
      <c r="BG787" s="158"/>
      <c r="BH787" s="158"/>
      <c r="BI787" s="158"/>
      <c r="BJ787" s="158"/>
      <c r="BK787" s="158"/>
      <c r="BL787" s="158"/>
      <c r="BM787" s="158"/>
      <c r="BN787" s="158"/>
      <c r="BO787" s="158"/>
      <c r="BP787" s="158"/>
      <c r="BQ787" s="158"/>
      <c r="BR787" s="158"/>
    </row>
    <row r="788">
      <c r="A788" s="158"/>
      <c r="B788" s="210"/>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c r="AW788" s="158"/>
      <c r="AX788" s="158"/>
      <c r="AY788" s="158"/>
      <c r="AZ788" s="158"/>
      <c r="BA788" s="158"/>
      <c r="BB788" s="158"/>
      <c r="BC788" s="158"/>
      <c r="BD788" s="158"/>
      <c r="BE788" s="158"/>
      <c r="BF788" s="158"/>
      <c r="BG788" s="158"/>
      <c r="BH788" s="158"/>
      <c r="BI788" s="158"/>
      <c r="BJ788" s="158"/>
      <c r="BK788" s="158"/>
      <c r="BL788" s="158"/>
      <c r="BM788" s="158"/>
      <c r="BN788" s="158"/>
      <c r="BO788" s="158"/>
      <c r="BP788" s="158"/>
      <c r="BQ788" s="158"/>
      <c r="BR788" s="158"/>
    </row>
    <row r="789">
      <c r="A789" s="158"/>
      <c r="B789" s="210"/>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c r="AW789" s="158"/>
      <c r="AX789" s="158"/>
      <c r="AY789" s="158"/>
      <c r="AZ789" s="158"/>
      <c r="BA789" s="158"/>
      <c r="BB789" s="158"/>
      <c r="BC789" s="158"/>
      <c r="BD789" s="158"/>
      <c r="BE789" s="158"/>
      <c r="BF789" s="158"/>
      <c r="BG789" s="158"/>
      <c r="BH789" s="158"/>
      <c r="BI789" s="158"/>
      <c r="BJ789" s="158"/>
      <c r="BK789" s="158"/>
      <c r="BL789" s="158"/>
      <c r="BM789" s="158"/>
      <c r="BN789" s="158"/>
      <c r="BO789" s="158"/>
      <c r="BP789" s="158"/>
      <c r="BQ789" s="158"/>
      <c r="BR789" s="158"/>
    </row>
    <row r="790">
      <c r="A790" s="158"/>
      <c r="B790" s="210"/>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c r="AW790" s="158"/>
      <c r="AX790" s="158"/>
      <c r="AY790" s="158"/>
      <c r="AZ790" s="158"/>
      <c r="BA790" s="158"/>
      <c r="BB790" s="158"/>
      <c r="BC790" s="158"/>
      <c r="BD790" s="158"/>
      <c r="BE790" s="158"/>
      <c r="BF790" s="158"/>
      <c r="BG790" s="158"/>
      <c r="BH790" s="158"/>
      <c r="BI790" s="158"/>
      <c r="BJ790" s="158"/>
      <c r="BK790" s="158"/>
      <c r="BL790" s="158"/>
      <c r="BM790" s="158"/>
      <c r="BN790" s="158"/>
      <c r="BO790" s="158"/>
      <c r="BP790" s="158"/>
      <c r="BQ790" s="158"/>
      <c r="BR790" s="158"/>
    </row>
    <row r="791">
      <c r="A791" s="158"/>
      <c r="B791" s="210"/>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c r="AW791" s="158"/>
      <c r="AX791" s="158"/>
      <c r="AY791" s="158"/>
      <c r="AZ791" s="158"/>
      <c r="BA791" s="158"/>
      <c r="BB791" s="158"/>
      <c r="BC791" s="158"/>
      <c r="BD791" s="158"/>
      <c r="BE791" s="158"/>
      <c r="BF791" s="158"/>
      <c r="BG791" s="158"/>
      <c r="BH791" s="158"/>
      <c r="BI791" s="158"/>
      <c r="BJ791" s="158"/>
      <c r="BK791" s="158"/>
      <c r="BL791" s="158"/>
      <c r="BM791" s="158"/>
      <c r="BN791" s="158"/>
      <c r="BO791" s="158"/>
      <c r="BP791" s="158"/>
      <c r="BQ791" s="158"/>
      <c r="BR791" s="158"/>
    </row>
    <row r="792">
      <c r="A792" s="158"/>
      <c r="B792" s="210"/>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c r="AW792" s="158"/>
      <c r="AX792" s="158"/>
      <c r="AY792" s="158"/>
      <c r="AZ792" s="158"/>
      <c r="BA792" s="158"/>
      <c r="BB792" s="158"/>
      <c r="BC792" s="158"/>
      <c r="BD792" s="158"/>
      <c r="BE792" s="158"/>
      <c r="BF792" s="158"/>
      <c r="BG792" s="158"/>
      <c r="BH792" s="158"/>
      <c r="BI792" s="158"/>
      <c r="BJ792" s="158"/>
      <c r="BK792" s="158"/>
      <c r="BL792" s="158"/>
      <c r="BM792" s="158"/>
      <c r="BN792" s="158"/>
      <c r="BO792" s="158"/>
      <c r="BP792" s="158"/>
      <c r="BQ792" s="158"/>
      <c r="BR792" s="158"/>
    </row>
    <row r="793">
      <c r="A793" s="158"/>
      <c r="B793" s="210"/>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c r="AW793" s="158"/>
      <c r="AX793" s="158"/>
      <c r="AY793" s="158"/>
      <c r="AZ793" s="158"/>
      <c r="BA793" s="158"/>
      <c r="BB793" s="158"/>
      <c r="BC793" s="158"/>
      <c r="BD793" s="158"/>
      <c r="BE793" s="158"/>
      <c r="BF793" s="158"/>
      <c r="BG793" s="158"/>
      <c r="BH793" s="158"/>
      <c r="BI793" s="158"/>
      <c r="BJ793" s="158"/>
      <c r="BK793" s="158"/>
      <c r="BL793" s="158"/>
      <c r="BM793" s="158"/>
      <c r="BN793" s="158"/>
      <c r="BO793" s="158"/>
      <c r="BP793" s="158"/>
      <c r="BQ793" s="158"/>
      <c r="BR793" s="158"/>
    </row>
    <row r="794">
      <c r="A794" s="158"/>
      <c r="B794" s="210"/>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c r="AW794" s="158"/>
      <c r="AX794" s="158"/>
      <c r="AY794" s="158"/>
      <c r="AZ794" s="158"/>
      <c r="BA794" s="158"/>
      <c r="BB794" s="158"/>
      <c r="BC794" s="158"/>
      <c r="BD794" s="158"/>
      <c r="BE794" s="158"/>
      <c r="BF794" s="158"/>
      <c r="BG794" s="158"/>
      <c r="BH794" s="158"/>
      <c r="BI794" s="158"/>
      <c r="BJ794" s="158"/>
      <c r="BK794" s="158"/>
      <c r="BL794" s="158"/>
      <c r="BM794" s="158"/>
      <c r="BN794" s="158"/>
      <c r="BO794" s="158"/>
      <c r="BP794" s="158"/>
      <c r="BQ794" s="158"/>
      <c r="BR794" s="158"/>
    </row>
    <row r="795">
      <c r="A795" s="158"/>
      <c r="B795" s="210"/>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c r="AW795" s="158"/>
      <c r="AX795" s="158"/>
      <c r="AY795" s="158"/>
      <c r="AZ795" s="158"/>
      <c r="BA795" s="158"/>
      <c r="BB795" s="158"/>
      <c r="BC795" s="158"/>
      <c r="BD795" s="158"/>
      <c r="BE795" s="158"/>
      <c r="BF795" s="158"/>
      <c r="BG795" s="158"/>
      <c r="BH795" s="158"/>
      <c r="BI795" s="158"/>
      <c r="BJ795" s="158"/>
      <c r="BK795" s="158"/>
      <c r="BL795" s="158"/>
      <c r="BM795" s="158"/>
      <c r="BN795" s="158"/>
      <c r="BO795" s="158"/>
      <c r="BP795" s="158"/>
      <c r="BQ795" s="158"/>
      <c r="BR795" s="158"/>
    </row>
    <row r="796">
      <c r="A796" s="158"/>
      <c r="B796" s="210"/>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c r="AW796" s="158"/>
      <c r="AX796" s="158"/>
      <c r="AY796" s="158"/>
      <c r="AZ796" s="158"/>
      <c r="BA796" s="158"/>
      <c r="BB796" s="158"/>
      <c r="BC796" s="158"/>
      <c r="BD796" s="158"/>
      <c r="BE796" s="158"/>
      <c r="BF796" s="158"/>
      <c r="BG796" s="158"/>
      <c r="BH796" s="158"/>
      <c r="BI796" s="158"/>
      <c r="BJ796" s="158"/>
      <c r="BK796" s="158"/>
      <c r="BL796" s="158"/>
      <c r="BM796" s="158"/>
      <c r="BN796" s="158"/>
      <c r="BO796" s="158"/>
      <c r="BP796" s="158"/>
      <c r="BQ796" s="158"/>
      <c r="BR796" s="158"/>
    </row>
    <row r="797">
      <c r="A797" s="158"/>
      <c r="B797" s="210"/>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c r="AW797" s="158"/>
      <c r="AX797" s="158"/>
      <c r="AY797" s="158"/>
      <c r="AZ797" s="158"/>
      <c r="BA797" s="158"/>
      <c r="BB797" s="158"/>
      <c r="BC797" s="158"/>
      <c r="BD797" s="158"/>
      <c r="BE797" s="158"/>
      <c r="BF797" s="158"/>
      <c r="BG797" s="158"/>
      <c r="BH797" s="158"/>
      <c r="BI797" s="158"/>
      <c r="BJ797" s="158"/>
      <c r="BK797" s="158"/>
      <c r="BL797" s="158"/>
      <c r="BM797" s="158"/>
      <c r="BN797" s="158"/>
      <c r="BO797" s="158"/>
      <c r="BP797" s="158"/>
      <c r="BQ797" s="158"/>
      <c r="BR797" s="158"/>
    </row>
    <row r="798">
      <c r="A798" s="158"/>
      <c r="B798" s="210"/>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c r="AW798" s="158"/>
      <c r="AX798" s="158"/>
      <c r="AY798" s="158"/>
      <c r="AZ798" s="158"/>
      <c r="BA798" s="158"/>
      <c r="BB798" s="158"/>
      <c r="BC798" s="158"/>
      <c r="BD798" s="158"/>
      <c r="BE798" s="158"/>
      <c r="BF798" s="158"/>
      <c r="BG798" s="158"/>
      <c r="BH798" s="158"/>
      <c r="BI798" s="158"/>
      <c r="BJ798" s="158"/>
      <c r="BK798" s="158"/>
      <c r="BL798" s="158"/>
      <c r="BM798" s="158"/>
      <c r="BN798" s="158"/>
      <c r="BO798" s="158"/>
      <c r="BP798" s="158"/>
      <c r="BQ798" s="158"/>
      <c r="BR798" s="158"/>
    </row>
    <row r="799">
      <c r="A799" s="158"/>
      <c r="B799" s="210"/>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c r="AW799" s="158"/>
      <c r="AX799" s="158"/>
      <c r="AY799" s="158"/>
      <c r="AZ799" s="158"/>
      <c r="BA799" s="158"/>
      <c r="BB799" s="158"/>
      <c r="BC799" s="158"/>
      <c r="BD799" s="158"/>
      <c r="BE799" s="158"/>
      <c r="BF799" s="158"/>
      <c r="BG799" s="158"/>
      <c r="BH799" s="158"/>
      <c r="BI799" s="158"/>
      <c r="BJ799" s="158"/>
      <c r="BK799" s="158"/>
      <c r="BL799" s="158"/>
      <c r="BM799" s="158"/>
      <c r="BN799" s="158"/>
      <c r="BO799" s="158"/>
      <c r="BP799" s="158"/>
      <c r="BQ799" s="158"/>
      <c r="BR799" s="158"/>
    </row>
    <row r="800">
      <c r="A800" s="158"/>
      <c r="B800" s="210"/>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c r="AW800" s="158"/>
      <c r="AX800" s="158"/>
      <c r="AY800" s="158"/>
      <c r="AZ800" s="158"/>
      <c r="BA800" s="158"/>
      <c r="BB800" s="158"/>
      <c r="BC800" s="158"/>
      <c r="BD800" s="158"/>
      <c r="BE800" s="158"/>
      <c r="BF800" s="158"/>
      <c r="BG800" s="158"/>
      <c r="BH800" s="158"/>
      <c r="BI800" s="158"/>
      <c r="BJ800" s="158"/>
      <c r="BK800" s="158"/>
      <c r="BL800" s="158"/>
      <c r="BM800" s="158"/>
      <c r="BN800" s="158"/>
      <c r="BO800" s="158"/>
      <c r="BP800" s="158"/>
      <c r="BQ800" s="158"/>
      <c r="BR800" s="158"/>
    </row>
    <row r="801">
      <c r="A801" s="158"/>
      <c r="B801" s="210"/>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c r="AW801" s="158"/>
      <c r="AX801" s="158"/>
      <c r="AY801" s="158"/>
      <c r="AZ801" s="158"/>
      <c r="BA801" s="158"/>
      <c r="BB801" s="158"/>
      <c r="BC801" s="158"/>
      <c r="BD801" s="158"/>
      <c r="BE801" s="158"/>
      <c r="BF801" s="158"/>
      <c r="BG801" s="158"/>
      <c r="BH801" s="158"/>
      <c r="BI801" s="158"/>
      <c r="BJ801" s="158"/>
      <c r="BK801" s="158"/>
      <c r="BL801" s="158"/>
      <c r="BM801" s="158"/>
      <c r="BN801" s="158"/>
      <c r="BO801" s="158"/>
      <c r="BP801" s="158"/>
      <c r="BQ801" s="158"/>
      <c r="BR801" s="158"/>
    </row>
    <row r="802">
      <c r="A802" s="158"/>
      <c r="B802" s="210"/>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c r="AW802" s="158"/>
      <c r="AX802" s="158"/>
      <c r="AY802" s="158"/>
      <c r="AZ802" s="158"/>
      <c r="BA802" s="158"/>
      <c r="BB802" s="158"/>
      <c r="BC802" s="158"/>
      <c r="BD802" s="158"/>
      <c r="BE802" s="158"/>
      <c r="BF802" s="158"/>
      <c r="BG802" s="158"/>
      <c r="BH802" s="158"/>
      <c r="BI802" s="158"/>
      <c r="BJ802" s="158"/>
      <c r="BK802" s="158"/>
      <c r="BL802" s="158"/>
      <c r="BM802" s="158"/>
      <c r="BN802" s="158"/>
      <c r="BO802" s="158"/>
      <c r="BP802" s="158"/>
      <c r="BQ802" s="158"/>
      <c r="BR802" s="158"/>
    </row>
    <row r="803">
      <c r="A803" s="158"/>
      <c r="B803" s="210"/>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c r="AW803" s="158"/>
      <c r="AX803" s="158"/>
      <c r="AY803" s="158"/>
      <c r="AZ803" s="158"/>
      <c r="BA803" s="158"/>
      <c r="BB803" s="158"/>
      <c r="BC803" s="158"/>
      <c r="BD803" s="158"/>
      <c r="BE803" s="158"/>
      <c r="BF803" s="158"/>
      <c r="BG803" s="158"/>
      <c r="BH803" s="158"/>
      <c r="BI803" s="158"/>
      <c r="BJ803" s="158"/>
      <c r="BK803" s="158"/>
      <c r="BL803" s="158"/>
      <c r="BM803" s="158"/>
      <c r="BN803" s="158"/>
      <c r="BO803" s="158"/>
      <c r="BP803" s="158"/>
      <c r="BQ803" s="158"/>
      <c r="BR803" s="158"/>
    </row>
    <row r="804">
      <c r="A804" s="158"/>
      <c r="B804" s="210"/>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c r="AW804" s="158"/>
      <c r="AX804" s="158"/>
      <c r="AY804" s="158"/>
      <c r="AZ804" s="158"/>
      <c r="BA804" s="158"/>
      <c r="BB804" s="158"/>
      <c r="BC804" s="158"/>
      <c r="BD804" s="158"/>
      <c r="BE804" s="158"/>
      <c r="BF804" s="158"/>
      <c r="BG804" s="158"/>
      <c r="BH804" s="158"/>
      <c r="BI804" s="158"/>
      <c r="BJ804" s="158"/>
      <c r="BK804" s="158"/>
      <c r="BL804" s="158"/>
      <c r="BM804" s="158"/>
      <c r="BN804" s="158"/>
      <c r="BO804" s="158"/>
      <c r="BP804" s="158"/>
      <c r="BQ804" s="158"/>
      <c r="BR804" s="158"/>
    </row>
    <row r="805">
      <c r="A805" s="158"/>
      <c r="B805" s="210"/>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c r="AW805" s="158"/>
      <c r="AX805" s="158"/>
      <c r="AY805" s="158"/>
      <c r="AZ805" s="158"/>
      <c r="BA805" s="158"/>
      <c r="BB805" s="158"/>
      <c r="BC805" s="158"/>
      <c r="BD805" s="158"/>
      <c r="BE805" s="158"/>
      <c r="BF805" s="158"/>
      <c r="BG805" s="158"/>
      <c r="BH805" s="158"/>
      <c r="BI805" s="158"/>
      <c r="BJ805" s="158"/>
      <c r="BK805" s="158"/>
      <c r="BL805" s="158"/>
      <c r="BM805" s="158"/>
      <c r="BN805" s="158"/>
      <c r="BO805" s="158"/>
      <c r="BP805" s="158"/>
      <c r="BQ805" s="158"/>
      <c r="BR805" s="158"/>
    </row>
    <row r="806">
      <c r="A806" s="158"/>
      <c r="B806" s="210"/>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c r="AW806" s="158"/>
      <c r="AX806" s="158"/>
      <c r="AY806" s="158"/>
      <c r="AZ806" s="158"/>
      <c r="BA806" s="158"/>
      <c r="BB806" s="158"/>
      <c r="BC806" s="158"/>
      <c r="BD806" s="158"/>
      <c r="BE806" s="158"/>
      <c r="BF806" s="158"/>
      <c r="BG806" s="158"/>
      <c r="BH806" s="158"/>
      <c r="BI806" s="158"/>
      <c r="BJ806" s="158"/>
      <c r="BK806" s="158"/>
      <c r="BL806" s="158"/>
      <c r="BM806" s="158"/>
      <c r="BN806" s="158"/>
      <c r="BO806" s="158"/>
      <c r="BP806" s="158"/>
      <c r="BQ806" s="158"/>
      <c r="BR806" s="158"/>
    </row>
    <row r="807">
      <c r="A807" s="158"/>
      <c r="B807" s="210"/>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c r="AW807" s="158"/>
      <c r="AX807" s="158"/>
      <c r="AY807" s="158"/>
      <c r="AZ807" s="158"/>
      <c r="BA807" s="158"/>
      <c r="BB807" s="158"/>
      <c r="BC807" s="158"/>
      <c r="BD807" s="158"/>
      <c r="BE807" s="158"/>
      <c r="BF807" s="158"/>
      <c r="BG807" s="158"/>
      <c r="BH807" s="158"/>
      <c r="BI807" s="158"/>
      <c r="BJ807" s="158"/>
      <c r="BK807" s="158"/>
      <c r="BL807" s="158"/>
      <c r="BM807" s="158"/>
      <c r="BN807" s="158"/>
      <c r="BO807" s="158"/>
      <c r="BP807" s="158"/>
      <c r="BQ807" s="158"/>
      <c r="BR807" s="158"/>
    </row>
    <row r="808">
      <c r="A808" s="158"/>
      <c r="B808" s="210"/>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c r="AW808" s="158"/>
      <c r="AX808" s="158"/>
      <c r="AY808" s="158"/>
      <c r="AZ808" s="158"/>
      <c r="BA808" s="158"/>
      <c r="BB808" s="158"/>
      <c r="BC808" s="158"/>
      <c r="BD808" s="158"/>
      <c r="BE808" s="158"/>
      <c r="BF808" s="158"/>
      <c r="BG808" s="158"/>
      <c r="BH808" s="158"/>
      <c r="BI808" s="158"/>
      <c r="BJ808" s="158"/>
      <c r="BK808" s="158"/>
      <c r="BL808" s="158"/>
      <c r="BM808" s="158"/>
      <c r="BN808" s="158"/>
      <c r="BO808" s="158"/>
      <c r="BP808" s="158"/>
      <c r="BQ808" s="158"/>
      <c r="BR808" s="158"/>
    </row>
    <row r="809">
      <c r="A809" s="158"/>
      <c r="B809" s="210"/>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c r="AW809" s="158"/>
      <c r="AX809" s="158"/>
      <c r="AY809" s="158"/>
      <c r="AZ809" s="158"/>
      <c r="BA809" s="158"/>
      <c r="BB809" s="158"/>
      <c r="BC809" s="158"/>
      <c r="BD809" s="158"/>
      <c r="BE809" s="158"/>
      <c r="BF809" s="158"/>
      <c r="BG809" s="158"/>
      <c r="BH809" s="158"/>
      <c r="BI809" s="158"/>
      <c r="BJ809" s="158"/>
      <c r="BK809" s="158"/>
      <c r="BL809" s="158"/>
      <c r="BM809" s="158"/>
      <c r="BN809" s="158"/>
      <c r="BO809" s="158"/>
      <c r="BP809" s="158"/>
      <c r="BQ809" s="158"/>
      <c r="BR809" s="158"/>
    </row>
    <row r="810">
      <c r="A810" s="158"/>
      <c r="B810" s="210"/>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c r="AW810" s="158"/>
      <c r="AX810" s="158"/>
      <c r="AY810" s="158"/>
      <c r="AZ810" s="158"/>
      <c r="BA810" s="158"/>
      <c r="BB810" s="158"/>
      <c r="BC810" s="158"/>
      <c r="BD810" s="158"/>
      <c r="BE810" s="158"/>
      <c r="BF810" s="158"/>
      <c r="BG810" s="158"/>
      <c r="BH810" s="158"/>
      <c r="BI810" s="158"/>
      <c r="BJ810" s="158"/>
      <c r="BK810" s="158"/>
      <c r="BL810" s="158"/>
      <c r="BM810" s="158"/>
      <c r="BN810" s="158"/>
      <c r="BO810" s="158"/>
      <c r="BP810" s="158"/>
      <c r="BQ810" s="158"/>
      <c r="BR810" s="158"/>
    </row>
    <row r="811">
      <c r="A811" s="158"/>
      <c r="B811" s="210"/>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c r="AW811" s="158"/>
      <c r="AX811" s="158"/>
      <c r="AY811" s="158"/>
      <c r="AZ811" s="158"/>
      <c r="BA811" s="158"/>
      <c r="BB811" s="158"/>
      <c r="BC811" s="158"/>
      <c r="BD811" s="158"/>
      <c r="BE811" s="158"/>
      <c r="BF811" s="158"/>
      <c r="BG811" s="158"/>
      <c r="BH811" s="158"/>
      <c r="BI811" s="158"/>
      <c r="BJ811" s="158"/>
      <c r="BK811" s="158"/>
      <c r="BL811" s="158"/>
      <c r="BM811" s="158"/>
      <c r="BN811" s="158"/>
      <c r="BO811" s="158"/>
      <c r="BP811" s="158"/>
      <c r="BQ811" s="158"/>
      <c r="BR811" s="158"/>
    </row>
    <row r="812">
      <c r="A812" s="158"/>
      <c r="B812" s="210"/>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c r="AW812" s="158"/>
      <c r="AX812" s="158"/>
      <c r="AY812" s="158"/>
      <c r="AZ812" s="158"/>
      <c r="BA812" s="158"/>
      <c r="BB812" s="158"/>
      <c r="BC812" s="158"/>
      <c r="BD812" s="158"/>
      <c r="BE812" s="158"/>
      <c r="BF812" s="158"/>
      <c r="BG812" s="158"/>
      <c r="BH812" s="158"/>
      <c r="BI812" s="158"/>
      <c r="BJ812" s="158"/>
      <c r="BK812" s="158"/>
      <c r="BL812" s="158"/>
      <c r="BM812" s="158"/>
      <c r="BN812" s="158"/>
      <c r="BO812" s="158"/>
      <c r="BP812" s="158"/>
      <c r="BQ812" s="158"/>
      <c r="BR812" s="158"/>
    </row>
    <row r="813">
      <c r="A813" s="158"/>
      <c r="B813" s="210"/>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c r="AW813" s="158"/>
      <c r="AX813" s="158"/>
      <c r="AY813" s="158"/>
      <c r="AZ813" s="158"/>
      <c r="BA813" s="158"/>
      <c r="BB813" s="158"/>
      <c r="BC813" s="158"/>
      <c r="BD813" s="158"/>
      <c r="BE813" s="158"/>
      <c r="BF813" s="158"/>
      <c r="BG813" s="158"/>
      <c r="BH813" s="158"/>
      <c r="BI813" s="158"/>
      <c r="BJ813" s="158"/>
      <c r="BK813" s="158"/>
      <c r="BL813" s="158"/>
      <c r="BM813" s="158"/>
      <c r="BN813" s="158"/>
      <c r="BO813" s="158"/>
      <c r="BP813" s="158"/>
      <c r="BQ813" s="158"/>
      <c r="BR813" s="158"/>
    </row>
    <row r="814">
      <c r="A814" s="158"/>
      <c r="B814" s="210"/>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c r="AW814" s="158"/>
      <c r="AX814" s="158"/>
      <c r="AY814" s="158"/>
      <c r="AZ814" s="158"/>
      <c r="BA814" s="158"/>
      <c r="BB814" s="158"/>
      <c r="BC814" s="158"/>
      <c r="BD814" s="158"/>
      <c r="BE814" s="158"/>
      <c r="BF814" s="158"/>
      <c r="BG814" s="158"/>
      <c r="BH814" s="158"/>
      <c r="BI814" s="158"/>
      <c r="BJ814" s="158"/>
      <c r="BK814" s="158"/>
      <c r="BL814" s="158"/>
      <c r="BM814" s="158"/>
      <c r="BN814" s="158"/>
      <c r="BO814" s="158"/>
      <c r="BP814" s="158"/>
      <c r="BQ814" s="158"/>
      <c r="BR814" s="158"/>
    </row>
    <row r="815">
      <c r="A815" s="158"/>
      <c r="B815" s="210"/>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c r="AW815" s="158"/>
      <c r="AX815" s="158"/>
      <c r="AY815" s="158"/>
      <c r="AZ815" s="158"/>
      <c r="BA815" s="158"/>
      <c r="BB815" s="158"/>
      <c r="BC815" s="158"/>
      <c r="BD815" s="158"/>
      <c r="BE815" s="158"/>
      <c r="BF815" s="158"/>
      <c r="BG815" s="158"/>
      <c r="BH815" s="158"/>
      <c r="BI815" s="158"/>
      <c r="BJ815" s="158"/>
      <c r="BK815" s="158"/>
      <c r="BL815" s="158"/>
      <c r="BM815" s="158"/>
      <c r="BN815" s="158"/>
      <c r="BO815" s="158"/>
      <c r="BP815" s="158"/>
      <c r="BQ815" s="158"/>
      <c r="BR815" s="158"/>
    </row>
    <row r="816">
      <c r="A816" s="158"/>
      <c r="B816" s="210"/>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c r="AW816" s="158"/>
      <c r="AX816" s="158"/>
      <c r="AY816" s="158"/>
      <c r="AZ816" s="158"/>
      <c r="BA816" s="158"/>
      <c r="BB816" s="158"/>
      <c r="BC816" s="158"/>
      <c r="BD816" s="158"/>
      <c r="BE816" s="158"/>
      <c r="BF816" s="158"/>
      <c r="BG816" s="158"/>
      <c r="BH816" s="158"/>
      <c r="BI816" s="158"/>
      <c r="BJ816" s="158"/>
      <c r="BK816" s="158"/>
      <c r="BL816" s="158"/>
      <c r="BM816" s="158"/>
      <c r="BN816" s="158"/>
      <c r="BO816" s="158"/>
      <c r="BP816" s="158"/>
      <c r="BQ816" s="158"/>
      <c r="BR816" s="158"/>
    </row>
    <row r="817">
      <c r="A817" s="158"/>
      <c r="B817" s="210"/>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c r="AW817" s="158"/>
      <c r="AX817" s="158"/>
      <c r="AY817" s="158"/>
      <c r="AZ817" s="158"/>
      <c r="BA817" s="158"/>
      <c r="BB817" s="158"/>
      <c r="BC817" s="158"/>
      <c r="BD817" s="158"/>
      <c r="BE817" s="158"/>
      <c r="BF817" s="158"/>
      <c r="BG817" s="158"/>
      <c r="BH817" s="158"/>
      <c r="BI817" s="158"/>
      <c r="BJ817" s="158"/>
      <c r="BK817" s="158"/>
      <c r="BL817" s="158"/>
      <c r="BM817" s="158"/>
      <c r="BN817" s="158"/>
      <c r="BO817" s="158"/>
      <c r="BP817" s="158"/>
      <c r="BQ817" s="158"/>
      <c r="BR817" s="158"/>
    </row>
    <row r="818">
      <c r="A818" s="158"/>
      <c r="B818" s="210"/>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c r="AW818" s="158"/>
      <c r="AX818" s="158"/>
      <c r="AY818" s="158"/>
      <c r="AZ818" s="158"/>
      <c r="BA818" s="158"/>
      <c r="BB818" s="158"/>
      <c r="BC818" s="158"/>
      <c r="BD818" s="158"/>
      <c r="BE818" s="158"/>
      <c r="BF818" s="158"/>
      <c r="BG818" s="158"/>
      <c r="BH818" s="158"/>
      <c r="BI818" s="158"/>
      <c r="BJ818" s="158"/>
      <c r="BK818" s="158"/>
      <c r="BL818" s="158"/>
      <c r="BM818" s="158"/>
      <c r="BN818" s="158"/>
      <c r="BO818" s="158"/>
      <c r="BP818" s="158"/>
      <c r="BQ818" s="158"/>
      <c r="BR818" s="158"/>
    </row>
    <row r="819">
      <c r="A819" s="158"/>
      <c r="B819" s="210"/>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c r="AW819" s="158"/>
      <c r="AX819" s="158"/>
      <c r="AY819" s="158"/>
      <c r="AZ819" s="158"/>
      <c r="BA819" s="158"/>
      <c r="BB819" s="158"/>
      <c r="BC819" s="158"/>
      <c r="BD819" s="158"/>
      <c r="BE819" s="158"/>
      <c r="BF819" s="158"/>
      <c r="BG819" s="158"/>
      <c r="BH819" s="158"/>
      <c r="BI819" s="158"/>
      <c r="BJ819" s="158"/>
      <c r="BK819" s="158"/>
      <c r="BL819" s="158"/>
      <c r="BM819" s="158"/>
      <c r="BN819" s="158"/>
      <c r="BO819" s="158"/>
      <c r="BP819" s="158"/>
      <c r="BQ819" s="158"/>
      <c r="BR819" s="158"/>
    </row>
    <row r="820">
      <c r="A820" s="158"/>
      <c r="B820" s="210"/>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c r="AW820" s="158"/>
      <c r="AX820" s="158"/>
      <c r="AY820" s="158"/>
      <c r="AZ820" s="158"/>
      <c r="BA820" s="158"/>
      <c r="BB820" s="158"/>
      <c r="BC820" s="158"/>
      <c r="BD820" s="158"/>
      <c r="BE820" s="158"/>
      <c r="BF820" s="158"/>
      <c r="BG820" s="158"/>
      <c r="BH820" s="158"/>
      <c r="BI820" s="158"/>
      <c r="BJ820" s="158"/>
      <c r="BK820" s="158"/>
      <c r="BL820" s="158"/>
      <c r="BM820" s="158"/>
      <c r="BN820" s="158"/>
      <c r="BO820" s="158"/>
      <c r="BP820" s="158"/>
      <c r="BQ820" s="158"/>
      <c r="BR820" s="158"/>
    </row>
    <row r="821">
      <c r="A821" s="158"/>
      <c r="B821" s="210"/>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c r="AW821" s="158"/>
      <c r="AX821" s="158"/>
      <c r="AY821" s="158"/>
      <c r="AZ821" s="158"/>
      <c r="BA821" s="158"/>
      <c r="BB821" s="158"/>
      <c r="BC821" s="158"/>
      <c r="BD821" s="158"/>
      <c r="BE821" s="158"/>
      <c r="BF821" s="158"/>
      <c r="BG821" s="158"/>
      <c r="BH821" s="158"/>
      <c r="BI821" s="158"/>
      <c r="BJ821" s="158"/>
      <c r="BK821" s="158"/>
      <c r="BL821" s="158"/>
      <c r="BM821" s="158"/>
      <c r="BN821" s="158"/>
      <c r="BO821" s="158"/>
      <c r="BP821" s="158"/>
      <c r="BQ821" s="158"/>
      <c r="BR821" s="158"/>
    </row>
    <row r="822">
      <c r="A822" s="158"/>
      <c r="B822" s="210"/>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c r="AW822" s="158"/>
      <c r="AX822" s="158"/>
      <c r="AY822" s="158"/>
      <c r="AZ822" s="158"/>
      <c r="BA822" s="158"/>
      <c r="BB822" s="158"/>
      <c r="BC822" s="158"/>
      <c r="BD822" s="158"/>
      <c r="BE822" s="158"/>
      <c r="BF822" s="158"/>
      <c r="BG822" s="158"/>
      <c r="BH822" s="158"/>
      <c r="BI822" s="158"/>
      <c r="BJ822" s="158"/>
      <c r="BK822" s="158"/>
      <c r="BL822" s="158"/>
      <c r="BM822" s="158"/>
      <c r="BN822" s="158"/>
      <c r="BO822" s="158"/>
      <c r="BP822" s="158"/>
      <c r="BQ822" s="158"/>
      <c r="BR822" s="158"/>
    </row>
    <row r="823">
      <c r="A823" s="158"/>
      <c r="B823" s="210"/>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c r="AW823" s="158"/>
      <c r="AX823" s="158"/>
      <c r="AY823" s="158"/>
      <c r="AZ823" s="158"/>
      <c r="BA823" s="158"/>
      <c r="BB823" s="158"/>
      <c r="BC823" s="158"/>
      <c r="BD823" s="158"/>
      <c r="BE823" s="158"/>
      <c r="BF823" s="158"/>
      <c r="BG823" s="158"/>
      <c r="BH823" s="158"/>
      <c r="BI823" s="158"/>
      <c r="BJ823" s="158"/>
      <c r="BK823" s="158"/>
      <c r="BL823" s="158"/>
      <c r="BM823" s="158"/>
      <c r="BN823" s="158"/>
      <c r="BO823" s="158"/>
      <c r="BP823" s="158"/>
      <c r="BQ823" s="158"/>
      <c r="BR823" s="158"/>
    </row>
    <row r="824">
      <c r="A824" s="158"/>
      <c r="B824" s="210"/>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c r="AW824" s="158"/>
      <c r="AX824" s="158"/>
      <c r="AY824" s="158"/>
      <c r="AZ824" s="158"/>
      <c r="BA824" s="158"/>
      <c r="BB824" s="158"/>
      <c r="BC824" s="158"/>
      <c r="BD824" s="158"/>
      <c r="BE824" s="158"/>
      <c r="BF824" s="158"/>
      <c r="BG824" s="158"/>
      <c r="BH824" s="158"/>
      <c r="BI824" s="158"/>
      <c r="BJ824" s="158"/>
      <c r="BK824" s="158"/>
      <c r="BL824" s="158"/>
      <c r="BM824" s="158"/>
      <c r="BN824" s="158"/>
      <c r="BO824" s="158"/>
      <c r="BP824" s="158"/>
      <c r="BQ824" s="158"/>
      <c r="BR824" s="158"/>
    </row>
    <row r="825">
      <c r="A825" s="158"/>
      <c r="B825" s="210"/>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c r="AW825" s="158"/>
      <c r="AX825" s="158"/>
      <c r="AY825" s="158"/>
      <c r="AZ825" s="158"/>
      <c r="BA825" s="158"/>
      <c r="BB825" s="158"/>
      <c r="BC825" s="158"/>
      <c r="BD825" s="158"/>
      <c r="BE825" s="158"/>
      <c r="BF825" s="158"/>
      <c r="BG825" s="158"/>
      <c r="BH825" s="158"/>
      <c r="BI825" s="158"/>
      <c r="BJ825" s="158"/>
      <c r="BK825" s="158"/>
      <c r="BL825" s="158"/>
      <c r="BM825" s="158"/>
      <c r="BN825" s="158"/>
      <c r="BO825" s="158"/>
      <c r="BP825" s="158"/>
      <c r="BQ825" s="158"/>
      <c r="BR825" s="158"/>
    </row>
    <row r="826">
      <c r="A826" s="158"/>
      <c r="B826" s="210"/>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c r="AW826" s="158"/>
      <c r="AX826" s="158"/>
      <c r="AY826" s="158"/>
      <c r="AZ826" s="158"/>
      <c r="BA826" s="158"/>
      <c r="BB826" s="158"/>
      <c r="BC826" s="158"/>
      <c r="BD826" s="158"/>
      <c r="BE826" s="158"/>
      <c r="BF826" s="158"/>
      <c r="BG826" s="158"/>
      <c r="BH826" s="158"/>
      <c r="BI826" s="158"/>
      <c r="BJ826" s="158"/>
      <c r="BK826" s="158"/>
      <c r="BL826" s="158"/>
      <c r="BM826" s="158"/>
      <c r="BN826" s="158"/>
      <c r="BO826" s="158"/>
      <c r="BP826" s="158"/>
      <c r="BQ826" s="158"/>
      <c r="BR826" s="158"/>
    </row>
    <row r="827">
      <c r="A827" s="158"/>
      <c r="B827" s="210"/>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c r="AW827" s="158"/>
      <c r="AX827" s="158"/>
      <c r="AY827" s="158"/>
      <c r="AZ827" s="158"/>
      <c r="BA827" s="158"/>
      <c r="BB827" s="158"/>
      <c r="BC827" s="158"/>
      <c r="BD827" s="158"/>
      <c r="BE827" s="158"/>
      <c r="BF827" s="158"/>
      <c r="BG827" s="158"/>
      <c r="BH827" s="158"/>
      <c r="BI827" s="158"/>
      <c r="BJ827" s="158"/>
      <c r="BK827" s="158"/>
      <c r="BL827" s="158"/>
      <c r="BM827" s="158"/>
      <c r="BN827" s="158"/>
      <c r="BO827" s="158"/>
      <c r="BP827" s="158"/>
      <c r="BQ827" s="158"/>
      <c r="BR827" s="158"/>
    </row>
    <row r="828">
      <c r="A828" s="158"/>
      <c r="B828" s="210"/>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c r="AW828" s="158"/>
      <c r="AX828" s="158"/>
      <c r="AY828" s="158"/>
      <c r="AZ828" s="158"/>
      <c r="BA828" s="158"/>
      <c r="BB828" s="158"/>
      <c r="BC828" s="158"/>
      <c r="BD828" s="158"/>
      <c r="BE828" s="158"/>
      <c r="BF828" s="158"/>
      <c r="BG828" s="158"/>
      <c r="BH828" s="158"/>
      <c r="BI828" s="158"/>
      <c r="BJ828" s="158"/>
      <c r="BK828" s="158"/>
      <c r="BL828" s="158"/>
      <c r="BM828" s="158"/>
      <c r="BN828" s="158"/>
      <c r="BO828" s="158"/>
      <c r="BP828" s="158"/>
      <c r="BQ828" s="158"/>
      <c r="BR828" s="158"/>
    </row>
    <row r="829">
      <c r="A829" s="158"/>
      <c r="B829" s="210"/>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c r="AW829" s="158"/>
      <c r="AX829" s="158"/>
      <c r="AY829" s="158"/>
      <c r="AZ829" s="158"/>
      <c r="BA829" s="158"/>
      <c r="BB829" s="158"/>
      <c r="BC829" s="158"/>
      <c r="BD829" s="158"/>
      <c r="BE829" s="158"/>
      <c r="BF829" s="158"/>
      <c r="BG829" s="158"/>
      <c r="BH829" s="158"/>
      <c r="BI829" s="158"/>
      <c r="BJ829" s="158"/>
      <c r="BK829" s="158"/>
      <c r="BL829" s="158"/>
      <c r="BM829" s="158"/>
      <c r="BN829" s="158"/>
      <c r="BO829" s="158"/>
      <c r="BP829" s="158"/>
      <c r="BQ829" s="158"/>
      <c r="BR829" s="158"/>
    </row>
    <row r="830">
      <c r="A830" s="158"/>
      <c r="B830" s="210"/>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c r="AW830" s="158"/>
      <c r="AX830" s="158"/>
      <c r="AY830" s="158"/>
      <c r="AZ830" s="158"/>
      <c r="BA830" s="158"/>
      <c r="BB830" s="158"/>
      <c r="BC830" s="158"/>
      <c r="BD830" s="158"/>
      <c r="BE830" s="158"/>
      <c r="BF830" s="158"/>
      <c r="BG830" s="158"/>
      <c r="BH830" s="158"/>
      <c r="BI830" s="158"/>
      <c r="BJ830" s="158"/>
      <c r="BK830" s="158"/>
      <c r="BL830" s="158"/>
      <c r="BM830" s="158"/>
      <c r="BN830" s="158"/>
      <c r="BO830" s="158"/>
      <c r="BP830" s="158"/>
      <c r="BQ830" s="158"/>
      <c r="BR830" s="158"/>
    </row>
    <row r="831">
      <c r="A831" s="158"/>
      <c r="B831" s="210"/>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c r="AW831" s="158"/>
      <c r="AX831" s="158"/>
      <c r="AY831" s="158"/>
      <c r="AZ831" s="158"/>
      <c r="BA831" s="158"/>
      <c r="BB831" s="158"/>
      <c r="BC831" s="158"/>
      <c r="BD831" s="158"/>
      <c r="BE831" s="158"/>
      <c r="BF831" s="158"/>
      <c r="BG831" s="158"/>
      <c r="BH831" s="158"/>
      <c r="BI831" s="158"/>
      <c r="BJ831" s="158"/>
      <c r="BK831" s="158"/>
      <c r="BL831" s="158"/>
      <c r="BM831" s="158"/>
      <c r="BN831" s="158"/>
      <c r="BO831" s="158"/>
      <c r="BP831" s="158"/>
      <c r="BQ831" s="158"/>
      <c r="BR831" s="158"/>
    </row>
    <row r="832">
      <c r="A832" s="158"/>
      <c r="B832" s="210"/>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c r="AW832" s="158"/>
      <c r="AX832" s="158"/>
      <c r="AY832" s="158"/>
      <c r="AZ832" s="158"/>
      <c r="BA832" s="158"/>
      <c r="BB832" s="158"/>
      <c r="BC832" s="158"/>
      <c r="BD832" s="158"/>
      <c r="BE832" s="158"/>
      <c r="BF832" s="158"/>
      <c r="BG832" s="158"/>
      <c r="BH832" s="158"/>
      <c r="BI832" s="158"/>
      <c r="BJ832" s="158"/>
      <c r="BK832" s="158"/>
      <c r="BL832" s="158"/>
      <c r="BM832" s="158"/>
      <c r="BN832" s="158"/>
      <c r="BO832" s="158"/>
      <c r="BP832" s="158"/>
      <c r="BQ832" s="158"/>
      <c r="BR832" s="158"/>
    </row>
    <row r="833">
      <c r="A833" s="158"/>
      <c r="B833" s="210"/>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c r="AW833" s="158"/>
      <c r="AX833" s="158"/>
      <c r="AY833" s="158"/>
      <c r="AZ833" s="158"/>
      <c r="BA833" s="158"/>
      <c r="BB833" s="158"/>
      <c r="BC833" s="158"/>
      <c r="BD833" s="158"/>
      <c r="BE833" s="158"/>
      <c r="BF833" s="158"/>
      <c r="BG833" s="158"/>
      <c r="BH833" s="158"/>
      <c r="BI833" s="158"/>
      <c r="BJ833" s="158"/>
      <c r="BK833" s="158"/>
      <c r="BL833" s="158"/>
      <c r="BM833" s="158"/>
      <c r="BN833" s="158"/>
      <c r="BO833" s="158"/>
      <c r="BP833" s="158"/>
      <c r="BQ833" s="158"/>
      <c r="BR833" s="158"/>
    </row>
    <row r="834">
      <c r="A834" s="158"/>
      <c r="B834" s="210"/>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c r="AW834" s="158"/>
      <c r="AX834" s="158"/>
      <c r="AY834" s="158"/>
      <c r="AZ834" s="158"/>
      <c r="BA834" s="158"/>
      <c r="BB834" s="158"/>
      <c r="BC834" s="158"/>
      <c r="BD834" s="158"/>
      <c r="BE834" s="158"/>
      <c r="BF834" s="158"/>
      <c r="BG834" s="158"/>
      <c r="BH834" s="158"/>
      <c r="BI834" s="158"/>
      <c r="BJ834" s="158"/>
      <c r="BK834" s="158"/>
      <c r="BL834" s="158"/>
      <c r="BM834" s="158"/>
      <c r="BN834" s="158"/>
      <c r="BO834" s="158"/>
      <c r="BP834" s="158"/>
      <c r="BQ834" s="158"/>
      <c r="BR834" s="158"/>
    </row>
    <row r="835">
      <c r="A835" s="158"/>
      <c r="B835" s="210"/>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c r="AW835" s="158"/>
      <c r="AX835" s="158"/>
      <c r="AY835" s="158"/>
      <c r="AZ835" s="158"/>
      <c r="BA835" s="158"/>
      <c r="BB835" s="158"/>
      <c r="BC835" s="158"/>
      <c r="BD835" s="158"/>
      <c r="BE835" s="158"/>
      <c r="BF835" s="158"/>
      <c r="BG835" s="158"/>
      <c r="BH835" s="158"/>
      <c r="BI835" s="158"/>
      <c r="BJ835" s="158"/>
      <c r="BK835" s="158"/>
      <c r="BL835" s="158"/>
      <c r="BM835" s="158"/>
      <c r="BN835" s="158"/>
      <c r="BO835" s="158"/>
      <c r="BP835" s="158"/>
      <c r="BQ835" s="158"/>
      <c r="BR835" s="158"/>
    </row>
    <row r="836">
      <c r="A836" s="158"/>
      <c r="B836" s="210"/>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c r="AW836" s="158"/>
      <c r="AX836" s="158"/>
      <c r="AY836" s="158"/>
      <c r="AZ836" s="158"/>
      <c r="BA836" s="158"/>
      <c r="BB836" s="158"/>
      <c r="BC836" s="158"/>
      <c r="BD836" s="158"/>
      <c r="BE836" s="158"/>
      <c r="BF836" s="158"/>
      <c r="BG836" s="158"/>
      <c r="BH836" s="158"/>
      <c r="BI836" s="158"/>
      <c r="BJ836" s="158"/>
      <c r="BK836" s="158"/>
      <c r="BL836" s="158"/>
      <c r="BM836" s="158"/>
      <c r="BN836" s="158"/>
      <c r="BO836" s="158"/>
      <c r="BP836" s="158"/>
      <c r="BQ836" s="158"/>
      <c r="BR836" s="158"/>
    </row>
    <row r="837">
      <c r="A837" s="158"/>
      <c r="B837" s="210"/>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c r="AW837" s="158"/>
      <c r="AX837" s="158"/>
      <c r="AY837" s="158"/>
      <c r="AZ837" s="158"/>
      <c r="BA837" s="158"/>
      <c r="BB837" s="158"/>
      <c r="BC837" s="158"/>
      <c r="BD837" s="158"/>
      <c r="BE837" s="158"/>
      <c r="BF837" s="158"/>
      <c r="BG837" s="158"/>
      <c r="BH837" s="158"/>
      <c r="BI837" s="158"/>
      <c r="BJ837" s="158"/>
      <c r="BK837" s="158"/>
      <c r="BL837" s="158"/>
      <c r="BM837" s="158"/>
      <c r="BN837" s="158"/>
      <c r="BO837" s="158"/>
      <c r="BP837" s="158"/>
      <c r="BQ837" s="158"/>
      <c r="BR837" s="158"/>
    </row>
    <row r="838">
      <c r="A838" s="158"/>
      <c r="B838" s="210"/>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c r="AW838" s="158"/>
      <c r="AX838" s="158"/>
      <c r="AY838" s="158"/>
      <c r="AZ838" s="158"/>
      <c r="BA838" s="158"/>
      <c r="BB838" s="158"/>
      <c r="BC838" s="158"/>
      <c r="BD838" s="158"/>
      <c r="BE838" s="158"/>
      <c r="BF838" s="158"/>
      <c r="BG838" s="158"/>
      <c r="BH838" s="158"/>
      <c r="BI838" s="158"/>
      <c r="BJ838" s="158"/>
      <c r="BK838" s="158"/>
      <c r="BL838" s="158"/>
      <c r="BM838" s="158"/>
      <c r="BN838" s="158"/>
      <c r="BO838" s="158"/>
      <c r="BP838" s="158"/>
      <c r="BQ838" s="158"/>
      <c r="BR838" s="158"/>
    </row>
    <row r="839">
      <c r="A839" s="158"/>
      <c r="B839" s="210"/>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c r="AW839" s="158"/>
      <c r="AX839" s="158"/>
      <c r="AY839" s="158"/>
      <c r="AZ839" s="158"/>
      <c r="BA839" s="158"/>
      <c r="BB839" s="158"/>
      <c r="BC839" s="158"/>
      <c r="BD839" s="158"/>
      <c r="BE839" s="158"/>
      <c r="BF839" s="158"/>
      <c r="BG839" s="158"/>
      <c r="BH839" s="158"/>
      <c r="BI839" s="158"/>
      <c r="BJ839" s="158"/>
      <c r="BK839" s="158"/>
      <c r="BL839" s="158"/>
      <c r="BM839" s="158"/>
      <c r="BN839" s="158"/>
      <c r="BO839" s="158"/>
      <c r="BP839" s="158"/>
      <c r="BQ839" s="158"/>
      <c r="BR839" s="158"/>
    </row>
    <row r="840">
      <c r="A840" s="158"/>
      <c r="B840" s="210"/>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c r="AW840" s="158"/>
      <c r="AX840" s="158"/>
      <c r="AY840" s="158"/>
      <c r="AZ840" s="158"/>
      <c r="BA840" s="158"/>
      <c r="BB840" s="158"/>
      <c r="BC840" s="158"/>
      <c r="BD840" s="158"/>
      <c r="BE840" s="158"/>
      <c r="BF840" s="158"/>
      <c r="BG840" s="158"/>
      <c r="BH840" s="158"/>
      <c r="BI840" s="158"/>
      <c r="BJ840" s="158"/>
      <c r="BK840" s="158"/>
      <c r="BL840" s="158"/>
      <c r="BM840" s="158"/>
      <c r="BN840" s="158"/>
      <c r="BO840" s="158"/>
      <c r="BP840" s="158"/>
      <c r="BQ840" s="158"/>
      <c r="BR840" s="158"/>
    </row>
    <row r="841">
      <c r="A841" s="158"/>
      <c r="B841" s="210"/>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c r="AW841" s="158"/>
      <c r="AX841" s="158"/>
      <c r="AY841" s="158"/>
      <c r="AZ841" s="158"/>
      <c r="BA841" s="158"/>
      <c r="BB841" s="158"/>
      <c r="BC841" s="158"/>
      <c r="BD841" s="158"/>
      <c r="BE841" s="158"/>
      <c r="BF841" s="158"/>
      <c r="BG841" s="158"/>
      <c r="BH841" s="158"/>
      <c r="BI841" s="158"/>
      <c r="BJ841" s="158"/>
      <c r="BK841" s="158"/>
      <c r="BL841" s="158"/>
      <c r="BM841" s="158"/>
      <c r="BN841" s="158"/>
      <c r="BO841" s="158"/>
      <c r="BP841" s="158"/>
      <c r="BQ841" s="158"/>
      <c r="BR841" s="158"/>
    </row>
    <row r="842">
      <c r="A842" s="158"/>
      <c r="B842" s="210"/>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c r="AW842" s="158"/>
      <c r="AX842" s="158"/>
      <c r="AY842" s="158"/>
      <c r="AZ842" s="158"/>
      <c r="BA842" s="158"/>
      <c r="BB842" s="158"/>
      <c r="BC842" s="158"/>
      <c r="BD842" s="158"/>
      <c r="BE842" s="158"/>
      <c r="BF842" s="158"/>
      <c r="BG842" s="158"/>
      <c r="BH842" s="158"/>
      <c r="BI842" s="158"/>
      <c r="BJ842" s="158"/>
      <c r="BK842" s="158"/>
      <c r="BL842" s="158"/>
      <c r="BM842" s="158"/>
      <c r="BN842" s="158"/>
      <c r="BO842" s="158"/>
      <c r="BP842" s="158"/>
      <c r="BQ842" s="158"/>
      <c r="BR842" s="158"/>
    </row>
    <row r="843">
      <c r="A843" s="158"/>
      <c r="B843" s="210"/>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c r="AW843" s="158"/>
      <c r="AX843" s="158"/>
      <c r="AY843" s="158"/>
      <c r="AZ843" s="158"/>
      <c r="BA843" s="158"/>
      <c r="BB843" s="158"/>
      <c r="BC843" s="158"/>
      <c r="BD843" s="158"/>
      <c r="BE843" s="158"/>
      <c r="BF843" s="158"/>
      <c r="BG843" s="158"/>
      <c r="BH843" s="158"/>
      <c r="BI843" s="158"/>
      <c r="BJ843" s="158"/>
      <c r="BK843" s="158"/>
      <c r="BL843" s="158"/>
      <c r="BM843" s="158"/>
      <c r="BN843" s="158"/>
      <c r="BO843" s="158"/>
      <c r="BP843" s="158"/>
      <c r="BQ843" s="158"/>
      <c r="BR843" s="158"/>
    </row>
    <row r="844">
      <c r="A844" s="158"/>
      <c r="B844" s="210"/>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c r="AW844" s="158"/>
      <c r="AX844" s="158"/>
      <c r="AY844" s="158"/>
      <c r="AZ844" s="158"/>
      <c r="BA844" s="158"/>
      <c r="BB844" s="158"/>
      <c r="BC844" s="158"/>
      <c r="BD844" s="158"/>
      <c r="BE844" s="158"/>
      <c r="BF844" s="158"/>
      <c r="BG844" s="158"/>
      <c r="BH844" s="158"/>
      <c r="BI844" s="158"/>
      <c r="BJ844" s="158"/>
      <c r="BK844" s="158"/>
      <c r="BL844" s="158"/>
      <c r="BM844" s="158"/>
      <c r="BN844" s="158"/>
      <c r="BO844" s="158"/>
      <c r="BP844" s="158"/>
      <c r="BQ844" s="158"/>
      <c r="BR844" s="158"/>
    </row>
    <row r="845">
      <c r="A845" s="158"/>
      <c r="B845" s="210"/>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c r="AW845" s="158"/>
      <c r="AX845" s="158"/>
      <c r="AY845" s="158"/>
      <c r="AZ845" s="158"/>
      <c r="BA845" s="158"/>
      <c r="BB845" s="158"/>
      <c r="BC845" s="158"/>
      <c r="BD845" s="158"/>
      <c r="BE845" s="158"/>
      <c r="BF845" s="158"/>
      <c r="BG845" s="158"/>
      <c r="BH845" s="158"/>
      <c r="BI845" s="158"/>
      <c r="BJ845" s="158"/>
      <c r="BK845" s="158"/>
      <c r="BL845" s="158"/>
      <c r="BM845" s="158"/>
      <c r="BN845" s="158"/>
      <c r="BO845" s="158"/>
      <c r="BP845" s="158"/>
      <c r="BQ845" s="158"/>
      <c r="BR845" s="158"/>
    </row>
    <row r="846">
      <c r="A846" s="158"/>
      <c r="B846" s="210"/>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c r="BF846" s="158"/>
      <c r="BG846" s="158"/>
      <c r="BH846" s="158"/>
      <c r="BI846" s="158"/>
      <c r="BJ846" s="158"/>
      <c r="BK846" s="158"/>
      <c r="BL846" s="158"/>
      <c r="BM846" s="158"/>
      <c r="BN846" s="158"/>
      <c r="BO846" s="158"/>
      <c r="BP846" s="158"/>
      <c r="BQ846" s="158"/>
      <c r="BR846" s="158"/>
    </row>
    <row r="847">
      <c r="A847" s="158"/>
      <c r="B847" s="210"/>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c r="BF847" s="158"/>
      <c r="BG847" s="158"/>
      <c r="BH847" s="158"/>
      <c r="BI847" s="158"/>
      <c r="BJ847" s="158"/>
      <c r="BK847" s="158"/>
      <c r="BL847" s="158"/>
      <c r="BM847" s="158"/>
      <c r="BN847" s="158"/>
      <c r="BO847" s="158"/>
      <c r="BP847" s="158"/>
      <c r="BQ847" s="158"/>
      <c r="BR847" s="158"/>
    </row>
    <row r="848">
      <c r="A848" s="158"/>
      <c r="B848" s="210"/>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c r="BF848" s="158"/>
      <c r="BG848" s="158"/>
      <c r="BH848" s="158"/>
      <c r="BI848" s="158"/>
      <c r="BJ848" s="158"/>
      <c r="BK848" s="158"/>
      <c r="BL848" s="158"/>
      <c r="BM848" s="158"/>
      <c r="BN848" s="158"/>
      <c r="BO848" s="158"/>
      <c r="BP848" s="158"/>
      <c r="BQ848" s="158"/>
      <c r="BR848" s="158"/>
    </row>
    <row r="849">
      <c r="A849" s="158"/>
      <c r="B849" s="210"/>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c r="BF849" s="158"/>
      <c r="BG849" s="158"/>
      <c r="BH849" s="158"/>
      <c r="BI849" s="158"/>
      <c r="BJ849" s="158"/>
      <c r="BK849" s="158"/>
      <c r="BL849" s="158"/>
      <c r="BM849" s="158"/>
      <c r="BN849" s="158"/>
      <c r="BO849" s="158"/>
      <c r="BP849" s="158"/>
      <c r="BQ849" s="158"/>
      <c r="BR849" s="158"/>
    </row>
    <row r="850">
      <c r="A850" s="158"/>
      <c r="B850" s="210"/>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58"/>
      <c r="BG850" s="158"/>
      <c r="BH850" s="158"/>
      <c r="BI850" s="158"/>
      <c r="BJ850" s="158"/>
      <c r="BK850" s="158"/>
      <c r="BL850" s="158"/>
      <c r="BM850" s="158"/>
      <c r="BN850" s="158"/>
      <c r="BO850" s="158"/>
      <c r="BP850" s="158"/>
      <c r="BQ850" s="158"/>
      <c r="BR850" s="158"/>
    </row>
    <row r="851">
      <c r="A851" s="158"/>
      <c r="B851" s="210"/>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c r="BF851" s="158"/>
      <c r="BG851" s="158"/>
      <c r="BH851" s="158"/>
      <c r="BI851" s="158"/>
      <c r="BJ851" s="158"/>
      <c r="BK851" s="158"/>
      <c r="BL851" s="158"/>
      <c r="BM851" s="158"/>
      <c r="BN851" s="158"/>
      <c r="BO851" s="158"/>
      <c r="BP851" s="158"/>
      <c r="BQ851" s="158"/>
      <c r="BR851" s="158"/>
    </row>
    <row r="852">
      <c r="A852" s="158"/>
      <c r="B852" s="210"/>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c r="BF852" s="158"/>
      <c r="BG852" s="158"/>
      <c r="BH852" s="158"/>
      <c r="BI852" s="158"/>
      <c r="BJ852" s="158"/>
      <c r="BK852" s="158"/>
      <c r="BL852" s="158"/>
      <c r="BM852" s="158"/>
      <c r="BN852" s="158"/>
      <c r="BO852" s="158"/>
      <c r="BP852" s="158"/>
      <c r="BQ852" s="158"/>
      <c r="BR852" s="158"/>
    </row>
    <row r="853">
      <c r="A853" s="158"/>
      <c r="B853" s="210"/>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c r="BF853" s="158"/>
      <c r="BG853" s="158"/>
      <c r="BH853" s="158"/>
      <c r="BI853" s="158"/>
      <c r="BJ853" s="158"/>
      <c r="BK853" s="158"/>
      <c r="BL853" s="158"/>
      <c r="BM853" s="158"/>
      <c r="BN853" s="158"/>
      <c r="BO853" s="158"/>
      <c r="BP853" s="158"/>
      <c r="BQ853" s="158"/>
      <c r="BR853" s="158"/>
    </row>
    <row r="854">
      <c r="A854" s="158"/>
      <c r="B854" s="210"/>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c r="BF854" s="158"/>
      <c r="BG854" s="158"/>
      <c r="BH854" s="158"/>
      <c r="BI854" s="158"/>
      <c r="BJ854" s="158"/>
      <c r="BK854" s="158"/>
      <c r="BL854" s="158"/>
      <c r="BM854" s="158"/>
      <c r="BN854" s="158"/>
      <c r="BO854" s="158"/>
      <c r="BP854" s="158"/>
      <c r="BQ854" s="158"/>
      <c r="BR854" s="158"/>
    </row>
    <row r="855">
      <c r="A855" s="158"/>
      <c r="B855" s="210"/>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c r="BF855" s="158"/>
      <c r="BG855" s="158"/>
      <c r="BH855" s="158"/>
      <c r="BI855" s="158"/>
      <c r="BJ855" s="158"/>
      <c r="BK855" s="158"/>
      <c r="BL855" s="158"/>
      <c r="BM855" s="158"/>
      <c r="BN855" s="158"/>
      <c r="BO855" s="158"/>
      <c r="BP855" s="158"/>
      <c r="BQ855" s="158"/>
      <c r="BR855" s="158"/>
    </row>
    <row r="856">
      <c r="A856" s="158"/>
      <c r="B856" s="210"/>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c r="AW856" s="158"/>
      <c r="AX856" s="158"/>
      <c r="AY856" s="158"/>
      <c r="AZ856" s="158"/>
      <c r="BA856" s="158"/>
      <c r="BB856" s="158"/>
      <c r="BC856" s="158"/>
      <c r="BD856" s="158"/>
      <c r="BE856" s="158"/>
      <c r="BF856" s="158"/>
      <c r="BG856" s="158"/>
      <c r="BH856" s="158"/>
      <c r="BI856" s="158"/>
      <c r="BJ856" s="158"/>
      <c r="BK856" s="158"/>
      <c r="BL856" s="158"/>
      <c r="BM856" s="158"/>
      <c r="BN856" s="158"/>
      <c r="BO856" s="158"/>
      <c r="BP856" s="158"/>
      <c r="BQ856" s="158"/>
      <c r="BR856" s="158"/>
    </row>
    <row r="857">
      <c r="A857" s="158"/>
      <c r="B857" s="210"/>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c r="BF857" s="158"/>
      <c r="BG857" s="158"/>
      <c r="BH857" s="158"/>
      <c r="BI857" s="158"/>
      <c r="BJ857" s="158"/>
      <c r="BK857" s="158"/>
      <c r="BL857" s="158"/>
      <c r="BM857" s="158"/>
      <c r="BN857" s="158"/>
      <c r="BO857" s="158"/>
      <c r="BP857" s="158"/>
      <c r="BQ857" s="158"/>
      <c r="BR857" s="158"/>
    </row>
    <row r="858">
      <c r="A858" s="158"/>
      <c r="B858" s="210"/>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c r="BF858" s="158"/>
      <c r="BG858" s="158"/>
      <c r="BH858" s="158"/>
      <c r="BI858" s="158"/>
      <c r="BJ858" s="158"/>
      <c r="BK858" s="158"/>
      <c r="BL858" s="158"/>
      <c r="BM858" s="158"/>
      <c r="BN858" s="158"/>
      <c r="BO858" s="158"/>
      <c r="BP858" s="158"/>
      <c r="BQ858" s="158"/>
      <c r="BR858" s="158"/>
    </row>
    <row r="859">
      <c r="A859" s="158"/>
      <c r="B859" s="210"/>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c r="BF859" s="158"/>
      <c r="BG859" s="158"/>
      <c r="BH859" s="158"/>
      <c r="BI859" s="158"/>
      <c r="BJ859" s="158"/>
      <c r="BK859" s="158"/>
      <c r="BL859" s="158"/>
      <c r="BM859" s="158"/>
      <c r="BN859" s="158"/>
      <c r="BO859" s="158"/>
      <c r="BP859" s="158"/>
      <c r="BQ859" s="158"/>
      <c r="BR859" s="158"/>
    </row>
    <row r="860">
      <c r="A860" s="158"/>
      <c r="B860" s="210"/>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c r="BF860" s="158"/>
      <c r="BG860" s="158"/>
      <c r="BH860" s="158"/>
      <c r="BI860" s="158"/>
      <c r="BJ860" s="158"/>
      <c r="BK860" s="158"/>
      <c r="BL860" s="158"/>
      <c r="BM860" s="158"/>
      <c r="BN860" s="158"/>
      <c r="BO860" s="158"/>
      <c r="BP860" s="158"/>
      <c r="BQ860" s="158"/>
      <c r="BR860" s="158"/>
    </row>
    <row r="861">
      <c r="A861" s="158"/>
      <c r="B861" s="210"/>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c r="BF861" s="158"/>
      <c r="BG861" s="158"/>
      <c r="BH861" s="158"/>
      <c r="BI861" s="158"/>
      <c r="BJ861" s="158"/>
      <c r="BK861" s="158"/>
      <c r="BL861" s="158"/>
      <c r="BM861" s="158"/>
      <c r="BN861" s="158"/>
      <c r="BO861" s="158"/>
      <c r="BP861" s="158"/>
      <c r="BQ861" s="158"/>
      <c r="BR861" s="158"/>
    </row>
    <row r="862">
      <c r="A862" s="158"/>
      <c r="B862" s="210"/>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c r="BF862" s="158"/>
      <c r="BG862" s="158"/>
      <c r="BH862" s="158"/>
      <c r="BI862" s="158"/>
      <c r="BJ862" s="158"/>
      <c r="BK862" s="158"/>
      <c r="BL862" s="158"/>
      <c r="BM862" s="158"/>
      <c r="BN862" s="158"/>
      <c r="BO862" s="158"/>
      <c r="BP862" s="158"/>
      <c r="BQ862" s="158"/>
      <c r="BR862" s="158"/>
    </row>
    <row r="863">
      <c r="A863" s="158"/>
      <c r="B863" s="210"/>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c r="BF863" s="158"/>
      <c r="BG863" s="158"/>
      <c r="BH863" s="158"/>
      <c r="BI863" s="158"/>
      <c r="BJ863" s="158"/>
      <c r="BK863" s="158"/>
      <c r="BL863" s="158"/>
      <c r="BM863" s="158"/>
      <c r="BN863" s="158"/>
      <c r="BO863" s="158"/>
      <c r="BP863" s="158"/>
      <c r="BQ863" s="158"/>
      <c r="BR863" s="158"/>
    </row>
    <row r="864">
      <c r="A864" s="158"/>
      <c r="B864" s="210"/>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c r="BF864" s="158"/>
      <c r="BG864" s="158"/>
      <c r="BH864" s="158"/>
      <c r="BI864" s="158"/>
      <c r="BJ864" s="158"/>
      <c r="BK864" s="158"/>
      <c r="BL864" s="158"/>
      <c r="BM864" s="158"/>
      <c r="BN864" s="158"/>
      <c r="BO864" s="158"/>
      <c r="BP864" s="158"/>
      <c r="BQ864" s="158"/>
      <c r="BR864" s="158"/>
    </row>
    <row r="865">
      <c r="A865" s="158"/>
      <c r="B865" s="210"/>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c r="BF865" s="158"/>
      <c r="BG865" s="158"/>
      <c r="BH865" s="158"/>
      <c r="BI865" s="158"/>
      <c r="BJ865" s="158"/>
      <c r="BK865" s="158"/>
      <c r="BL865" s="158"/>
      <c r="BM865" s="158"/>
      <c r="BN865" s="158"/>
      <c r="BO865" s="158"/>
      <c r="BP865" s="158"/>
      <c r="BQ865" s="158"/>
      <c r="BR865" s="158"/>
    </row>
    <row r="866">
      <c r="A866" s="158"/>
      <c r="B866" s="210"/>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c r="BF866" s="158"/>
      <c r="BG866" s="158"/>
      <c r="BH866" s="158"/>
      <c r="BI866" s="158"/>
      <c r="BJ866" s="158"/>
      <c r="BK866" s="158"/>
      <c r="BL866" s="158"/>
      <c r="BM866" s="158"/>
      <c r="BN866" s="158"/>
      <c r="BO866" s="158"/>
      <c r="BP866" s="158"/>
      <c r="BQ866" s="158"/>
      <c r="BR866" s="158"/>
    </row>
    <row r="867">
      <c r="A867" s="158"/>
      <c r="B867" s="210"/>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c r="BF867" s="158"/>
      <c r="BG867" s="158"/>
      <c r="BH867" s="158"/>
      <c r="BI867" s="158"/>
      <c r="BJ867" s="158"/>
      <c r="BK867" s="158"/>
      <c r="BL867" s="158"/>
      <c r="BM867" s="158"/>
      <c r="BN867" s="158"/>
      <c r="BO867" s="158"/>
      <c r="BP867" s="158"/>
      <c r="BQ867" s="158"/>
      <c r="BR867" s="158"/>
    </row>
    <row r="868">
      <c r="A868" s="158"/>
      <c r="B868" s="210"/>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c r="BF868" s="158"/>
      <c r="BG868" s="158"/>
      <c r="BH868" s="158"/>
      <c r="BI868" s="158"/>
      <c r="BJ868" s="158"/>
      <c r="BK868" s="158"/>
      <c r="BL868" s="158"/>
      <c r="BM868" s="158"/>
      <c r="BN868" s="158"/>
      <c r="BO868" s="158"/>
      <c r="BP868" s="158"/>
      <c r="BQ868" s="158"/>
      <c r="BR868" s="158"/>
    </row>
    <row r="869">
      <c r="A869" s="158"/>
      <c r="B869" s="210"/>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c r="AW869" s="158"/>
      <c r="AX869" s="158"/>
      <c r="AY869" s="158"/>
      <c r="AZ869" s="158"/>
      <c r="BA869" s="158"/>
      <c r="BB869" s="158"/>
      <c r="BC869" s="158"/>
      <c r="BD869" s="158"/>
      <c r="BE869" s="158"/>
      <c r="BF869" s="158"/>
      <c r="BG869" s="158"/>
      <c r="BH869" s="158"/>
      <c r="BI869" s="158"/>
      <c r="BJ869" s="158"/>
      <c r="BK869" s="158"/>
      <c r="BL869" s="158"/>
      <c r="BM869" s="158"/>
      <c r="BN869" s="158"/>
      <c r="BO869" s="158"/>
      <c r="BP869" s="158"/>
      <c r="BQ869" s="158"/>
      <c r="BR869" s="158"/>
    </row>
    <row r="870">
      <c r="A870" s="158"/>
      <c r="B870" s="210"/>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c r="BF870" s="158"/>
      <c r="BG870" s="158"/>
      <c r="BH870" s="158"/>
      <c r="BI870" s="158"/>
      <c r="BJ870" s="158"/>
      <c r="BK870" s="158"/>
      <c r="BL870" s="158"/>
      <c r="BM870" s="158"/>
      <c r="BN870" s="158"/>
      <c r="BO870" s="158"/>
      <c r="BP870" s="158"/>
      <c r="BQ870" s="158"/>
      <c r="BR870" s="158"/>
    </row>
    <row r="871">
      <c r="A871" s="158"/>
      <c r="B871" s="210"/>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c r="AW871" s="158"/>
      <c r="AX871" s="158"/>
      <c r="AY871" s="158"/>
      <c r="AZ871" s="158"/>
      <c r="BA871" s="158"/>
      <c r="BB871" s="158"/>
      <c r="BC871" s="158"/>
      <c r="BD871" s="158"/>
      <c r="BE871" s="158"/>
      <c r="BF871" s="158"/>
      <c r="BG871" s="158"/>
      <c r="BH871" s="158"/>
      <c r="BI871" s="158"/>
      <c r="BJ871" s="158"/>
      <c r="BK871" s="158"/>
      <c r="BL871" s="158"/>
      <c r="BM871" s="158"/>
      <c r="BN871" s="158"/>
      <c r="BO871" s="158"/>
      <c r="BP871" s="158"/>
      <c r="BQ871" s="158"/>
      <c r="BR871" s="158"/>
    </row>
    <row r="872">
      <c r="A872" s="158"/>
      <c r="B872" s="210"/>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c r="AW872" s="158"/>
      <c r="AX872" s="158"/>
      <c r="AY872" s="158"/>
      <c r="AZ872" s="158"/>
      <c r="BA872" s="158"/>
      <c r="BB872" s="158"/>
      <c r="BC872" s="158"/>
      <c r="BD872" s="158"/>
      <c r="BE872" s="158"/>
      <c r="BF872" s="158"/>
      <c r="BG872" s="158"/>
      <c r="BH872" s="158"/>
      <c r="BI872" s="158"/>
      <c r="BJ872" s="158"/>
      <c r="BK872" s="158"/>
      <c r="BL872" s="158"/>
      <c r="BM872" s="158"/>
      <c r="BN872" s="158"/>
      <c r="BO872" s="158"/>
      <c r="BP872" s="158"/>
      <c r="BQ872" s="158"/>
      <c r="BR872" s="158"/>
    </row>
    <row r="873">
      <c r="A873" s="158"/>
      <c r="B873" s="210"/>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c r="AW873" s="158"/>
      <c r="AX873" s="158"/>
      <c r="AY873" s="158"/>
      <c r="AZ873" s="158"/>
      <c r="BA873" s="158"/>
      <c r="BB873" s="158"/>
      <c r="BC873" s="158"/>
      <c r="BD873" s="158"/>
      <c r="BE873" s="158"/>
      <c r="BF873" s="158"/>
      <c r="BG873" s="158"/>
      <c r="BH873" s="158"/>
      <c r="BI873" s="158"/>
      <c r="BJ873" s="158"/>
      <c r="BK873" s="158"/>
      <c r="BL873" s="158"/>
      <c r="BM873" s="158"/>
      <c r="BN873" s="158"/>
      <c r="BO873" s="158"/>
      <c r="BP873" s="158"/>
      <c r="BQ873" s="158"/>
      <c r="BR873" s="158"/>
    </row>
    <row r="874">
      <c r="A874" s="158"/>
      <c r="B874" s="210"/>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c r="BF874" s="158"/>
      <c r="BG874" s="158"/>
      <c r="BH874" s="158"/>
      <c r="BI874" s="158"/>
      <c r="BJ874" s="158"/>
      <c r="BK874" s="158"/>
      <c r="BL874" s="158"/>
      <c r="BM874" s="158"/>
      <c r="BN874" s="158"/>
      <c r="BO874" s="158"/>
      <c r="BP874" s="158"/>
      <c r="BQ874" s="158"/>
      <c r="BR874" s="158"/>
    </row>
    <row r="875">
      <c r="A875" s="158"/>
      <c r="B875" s="210"/>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c r="AW875" s="158"/>
      <c r="AX875" s="158"/>
      <c r="AY875" s="158"/>
      <c r="AZ875" s="158"/>
      <c r="BA875" s="158"/>
      <c r="BB875" s="158"/>
      <c r="BC875" s="158"/>
      <c r="BD875" s="158"/>
      <c r="BE875" s="158"/>
      <c r="BF875" s="158"/>
      <c r="BG875" s="158"/>
      <c r="BH875" s="158"/>
      <c r="BI875" s="158"/>
      <c r="BJ875" s="158"/>
      <c r="BK875" s="158"/>
      <c r="BL875" s="158"/>
      <c r="BM875" s="158"/>
      <c r="BN875" s="158"/>
      <c r="BO875" s="158"/>
      <c r="BP875" s="158"/>
      <c r="BQ875" s="158"/>
      <c r="BR875" s="158"/>
    </row>
    <row r="876">
      <c r="A876" s="158"/>
      <c r="B876" s="210"/>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c r="AW876" s="158"/>
      <c r="AX876" s="158"/>
      <c r="AY876" s="158"/>
      <c r="AZ876" s="158"/>
      <c r="BA876" s="158"/>
      <c r="BB876" s="158"/>
      <c r="BC876" s="158"/>
      <c r="BD876" s="158"/>
      <c r="BE876" s="158"/>
      <c r="BF876" s="158"/>
      <c r="BG876" s="158"/>
      <c r="BH876" s="158"/>
      <c r="BI876" s="158"/>
      <c r="BJ876" s="158"/>
      <c r="BK876" s="158"/>
      <c r="BL876" s="158"/>
      <c r="BM876" s="158"/>
      <c r="BN876" s="158"/>
      <c r="BO876" s="158"/>
      <c r="BP876" s="158"/>
      <c r="BQ876" s="158"/>
      <c r="BR876" s="158"/>
    </row>
    <row r="877">
      <c r="A877" s="158"/>
      <c r="B877" s="210"/>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c r="AW877" s="158"/>
      <c r="AX877" s="158"/>
      <c r="AY877" s="158"/>
      <c r="AZ877" s="158"/>
      <c r="BA877" s="158"/>
      <c r="BB877" s="158"/>
      <c r="BC877" s="158"/>
      <c r="BD877" s="158"/>
      <c r="BE877" s="158"/>
      <c r="BF877" s="158"/>
      <c r="BG877" s="158"/>
      <c r="BH877" s="158"/>
      <c r="BI877" s="158"/>
      <c r="BJ877" s="158"/>
      <c r="BK877" s="158"/>
      <c r="BL877" s="158"/>
      <c r="BM877" s="158"/>
      <c r="BN877" s="158"/>
      <c r="BO877" s="158"/>
      <c r="BP877" s="158"/>
      <c r="BQ877" s="158"/>
      <c r="BR877" s="158"/>
    </row>
    <row r="878">
      <c r="A878" s="158"/>
      <c r="B878" s="210"/>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c r="AW878" s="158"/>
      <c r="AX878" s="158"/>
      <c r="AY878" s="158"/>
      <c r="AZ878" s="158"/>
      <c r="BA878" s="158"/>
      <c r="BB878" s="158"/>
      <c r="BC878" s="158"/>
      <c r="BD878" s="158"/>
      <c r="BE878" s="158"/>
      <c r="BF878" s="158"/>
      <c r="BG878" s="158"/>
      <c r="BH878" s="158"/>
      <c r="BI878" s="158"/>
      <c r="BJ878" s="158"/>
      <c r="BK878" s="158"/>
      <c r="BL878" s="158"/>
      <c r="BM878" s="158"/>
      <c r="BN878" s="158"/>
      <c r="BO878" s="158"/>
      <c r="BP878" s="158"/>
      <c r="BQ878" s="158"/>
      <c r="BR878" s="158"/>
    </row>
    <row r="879">
      <c r="A879" s="158"/>
      <c r="B879" s="210"/>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c r="AW879" s="158"/>
      <c r="AX879" s="158"/>
      <c r="AY879" s="158"/>
      <c r="AZ879" s="158"/>
      <c r="BA879" s="158"/>
      <c r="BB879" s="158"/>
      <c r="BC879" s="158"/>
      <c r="BD879" s="158"/>
      <c r="BE879" s="158"/>
      <c r="BF879" s="158"/>
      <c r="BG879" s="158"/>
      <c r="BH879" s="158"/>
      <c r="BI879" s="158"/>
      <c r="BJ879" s="158"/>
      <c r="BK879" s="158"/>
      <c r="BL879" s="158"/>
      <c r="BM879" s="158"/>
      <c r="BN879" s="158"/>
      <c r="BO879" s="158"/>
      <c r="BP879" s="158"/>
      <c r="BQ879" s="158"/>
      <c r="BR879" s="158"/>
    </row>
    <row r="880">
      <c r="A880" s="158"/>
      <c r="B880" s="210"/>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c r="AW880" s="158"/>
      <c r="AX880" s="158"/>
      <c r="AY880" s="158"/>
      <c r="AZ880" s="158"/>
      <c r="BA880" s="158"/>
      <c r="BB880" s="158"/>
      <c r="BC880" s="158"/>
      <c r="BD880" s="158"/>
      <c r="BE880" s="158"/>
      <c r="BF880" s="158"/>
      <c r="BG880" s="158"/>
      <c r="BH880" s="158"/>
      <c r="BI880" s="158"/>
      <c r="BJ880" s="158"/>
      <c r="BK880" s="158"/>
      <c r="BL880" s="158"/>
      <c r="BM880" s="158"/>
      <c r="BN880" s="158"/>
      <c r="BO880" s="158"/>
      <c r="BP880" s="158"/>
      <c r="BQ880" s="158"/>
      <c r="BR880" s="158"/>
    </row>
    <row r="881">
      <c r="A881" s="158"/>
      <c r="B881" s="210"/>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c r="AW881" s="158"/>
      <c r="AX881" s="158"/>
      <c r="AY881" s="158"/>
      <c r="AZ881" s="158"/>
      <c r="BA881" s="158"/>
      <c r="BB881" s="158"/>
      <c r="BC881" s="158"/>
      <c r="BD881" s="158"/>
      <c r="BE881" s="158"/>
      <c r="BF881" s="158"/>
      <c r="BG881" s="158"/>
      <c r="BH881" s="158"/>
      <c r="BI881" s="158"/>
      <c r="BJ881" s="158"/>
      <c r="BK881" s="158"/>
      <c r="BL881" s="158"/>
      <c r="BM881" s="158"/>
      <c r="BN881" s="158"/>
      <c r="BO881" s="158"/>
      <c r="BP881" s="158"/>
      <c r="BQ881" s="158"/>
      <c r="BR881" s="158"/>
    </row>
    <row r="882">
      <c r="A882" s="158"/>
      <c r="B882" s="210"/>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c r="AW882" s="158"/>
      <c r="AX882" s="158"/>
      <c r="AY882" s="158"/>
      <c r="AZ882" s="158"/>
      <c r="BA882" s="158"/>
      <c r="BB882" s="158"/>
      <c r="BC882" s="158"/>
      <c r="BD882" s="158"/>
      <c r="BE882" s="158"/>
      <c r="BF882" s="158"/>
      <c r="BG882" s="158"/>
      <c r="BH882" s="158"/>
      <c r="BI882" s="158"/>
      <c r="BJ882" s="158"/>
      <c r="BK882" s="158"/>
      <c r="BL882" s="158"/>
      <c r="BM882" s="158"/>
      <c r="BN882" s="158"/>
      <c r="BO882" s="158"/>
      <c r="BP882" s="158"/>
      <c r="BQ882" s="158"/>
      <c r="BR882" s="158"/>
    </row>
    <row r="883">
      <c r="A883" s="158"/>
      <c r="B883" s="210"/>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c r="AW883" s="158"/>
      <c r="AX883" s="158"/>
      <c r="AY883" s="158"/>
      <c r="AZ883" s="158"/>
      <c r="BA883" s="158"/>
      <c r="BB883" s="158"/>
      <c r="BC883" s="158"/>
      <c r="BD883" s="158"/>
      <c r="BE883" s="158"/>
      <c r="BF883" s="158"/>
      <c r="BG883" s="158"/>
      <c r="BH883" s="158"/>
      <c r="BI883" s="158"/>
      <c r="BJ883" s="158"/>
      <c r="BK883" s="158"/>
      <c r="BL883" s="158"/>
      <c r="BM883" s="158"/>
      <c r="BN883" s="158"/>
      <c r="BO883" s="158"/>
      <c r="BP883" s="158"/>
      <c r="BQ883" s="158"/>
      <c r="BR883" s="158"/>
    </row>
    <row r="884">
      <c r="A884" s="158"/>
      <c r="B884" s="210"/>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c r="AW884" s="158"/>
      <c r="AX884" s="158"/>
      <c r="AY884" s="158"/>
      <c r="AZ884" s="158"/>
      <c r="BA884" s="158"/>
      <c r="BB884" s="158"/>
      <c r="BC884" s="158"/>
      <c r="BD884" s="158"/>
      <c r="BE884" s="158"/>
      <c r="BF884" s="158"/>
      <c r="BG884" s="158"/>
      <c r="BH884" s="158"/>
      <c r="BI884" s="158"/>
      <c r="BJ884" s="158"/>
      <c r="BK884" s="158"/>
      <c r="BL884" s="158"/>
      <c r="BM884" s="158"/>
      <c r="BN884" s="158"/>
      <c r="BO884" s="158"/>
      <c r="BP884" s="158"/>
      <c r="BQ884" s="158"/>
      <c r="BR884" s="158"/>
    </row>
    <row r="885">
      <c r="A885" s="158"/>
      <c r="B885" s="210"/>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c r="AW885" s="158"/>
      <c r="AX885" s="158"/>
      <c r="AY885" s="158"/>
      <c r="AZ885" s="158"/>
      <c r="BA885" s="158"/>
      <c r="BB885" s="158"/>
      <c r="BC885" s="158"/>
      <c r="BD885" s="158"/>
      <c r="BE885" s="158"/>
      <c r="BF885" s="158"/>
      <c r="BG885" s="158"/>
      <c r="BH885" s="158"/>
      <c r="BI885" s="158"/>
      <c r="BJ885" s="158"/>
      <c r="BK885" s="158"/>
      <c r="BL885" s="158"/>
      <c r="BM885" s="158"/>
      <c r="BN885" s="158"/>
      <c r="BO885" s="158"/>
      <c r="BP885" s="158"/>
      <c r="BQ885" s="158"/>
      <c r="BR885" s="158"/>
    </row>
    <row r="886">
      <c r="A886" s="158"/>
      <c r="B886" s="210"/>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c r="AW886" s="158"/>
      <c r="AX886" s="158"/>
      <c r="AY886" s="158"/>
      <c r="AZ886" s="158"/>
      <c r="BA886" s="158"/>
      <c r="BB886" s="158"/>
      <c r="BC886" s="158"/>
      <c r="BD886" s="158"/>
      <c r="BE886" s="158"/>
      <c r="BF886" s="158"/>
      <c r="BG886" s="158"/>
      <c r="BH886" s="158"/>
      <c r="BI886" s="158"/>
      <c r="BJ886" s="158"/>
      <c r="BK886" s="158"/>
      <c r="BL886" s="158"/>
      <c r="BM886" s="158"/>
      <c r="BN886" s="158"/>
      <c r="BO886" s="158"/>
      <c r="BP886" s="158"/>
      <c r="BQ886" s="158"/>
      <c r="BR886" s="158"/>
    </row>
    <row r="887">
      <c r="A887" s="158"/>
      <c r="B887" s="210"/>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c r="AW887" s="158"/>
      <c r="AX887" s="158"/>
      <c r="AY887" s="158"/>
      <c r="AZ887" s="158"/>
      <c r="BA887" s="158"/>
      <c r="BB887" s="158"/>
      <c r="BC887" s="158"/>
      <c r="BD887" s="158"/>
      <c r="BE887" s="158"/>
      <c r="BF887" s="158"/>
      <c r="BG887" s="158"/>
      <c r="BH887" s="158"/>
      <c r="BI887" s="158"/>
      <c r="BJ887" s="158"/>
      <c r="BK887" s="158"/>
      <c r="BL887" s="158"/>
      <c r="BM887" s="158"/>
      <c r="BN887" s="158"/>
      <c r="BO887" s="158"/>
      <c r="BP887" s="158"/>
      <c r="BQ887" s="158"/>
      <c r="BR887" s="158"/>
    </row>
    <row r="888">
      <c r="A888" s="158"/>
      <c r="B888" s="210"/>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c r="AW888" s="158"/>
      <c r="AX888" s="158"/>
      <c r="AY888" s="158"/>
      <c r="AZ888" s="158"/>
      <c r="BA888" s="158"/>
      <c r="BB888" s="158"/>
      <c r="BC888" s="158"/>
      <c r="BD888" s="158"/>
      <c r="BE888" s="158"/>
      <c r="BF888" s="158"/>
      <c r="BG888" s="158"/>
      <c r="BH888" s="158"/>
      <c r="BI888" s="158"/>
      <c r="BJ888" s="158"/>
      <c r="BK888" s="158"/>
      <c r="BL888" s="158"/>
      <c r="BM888" s="158"/>
      <c r="BN888" s="158"/>
      <c r="BO888" s="158"/>
      <c r="BP888" s="158"/>
      <c r="BQ888" s="158"/>
      <c r="BR888" s="158"/>
    </row>
    <row r="889">
      <c r="A889" s="158"/>
      <c r="B889" s="210"/>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c r="AW889" s="158"/>
      <c r="AX889" s="158"/>
      <c r="AY889" s="158"/>
      <c r="AZ889" s="158"/>
      <c r="BA889" s="158"/>
      <c r="BB889" s="158"/>
      <c r="BC889" s="158"/>
      <c r="BD889" s="158"/>
      <c r="BE889" s="158"/>
      <c r="BF889" s="158"/>
      <c r="BG889" s="158"/>
      <c r="BH889" s="158"/>
      <c r="BI889" s="158"/>
      <c r="BJ889" s="158"/>
      <c r="BK889" s="158"/>
      <c r="BL889" s="158"/>
      <c r="BM889" s="158"/>
      <c r="BN889" s="158"/>
      <c r="BO889" s="158"/>
      <c r="BP889" s="158"/>
      <c r="BQ889" s="158"/>
      <c r="BR889" s="158"/>
    </row>
    <row r="890">
      <c r="A890" s="158"/>
      <c r="B890" s="210"/>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c r="AW890" s="158"/>
      <c r="AX890" s="158"/>
      <c r="AY890" s="158"/>
      <c r="AZ890" s="158"/>
      <c r="BA890" s="158"/>
      <c r="BB890" s="158"/>
      <c r="BC890" s="158"/>
      <c r="BD890" s="158"/>
      <c r="BE890" s="158"/>
      <c r="BF890" s="158"/>
      <c r="BG890" s="158"/>
      <c r="BH890" s="158"/>
      <c r="BI890" s="158"/>
      <c r="BJ890" s="158"/>
      <c r="BK890" s="158"/>
      <c r="BL890" s="158"/>
      <c r="BM890" s="158"/>
      <c r="BN890" s="158"/>
      <c r="BO890" s="158"/>
      <c r="BP890" s="158"/>
      <c r="BQ890" s="158"/>
      <c r="BR890" s="158"/>
    </row>
    <row r="891">
      <c r="A891" s="158"/>
      <c r="B891" s="210"/>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c r="AW891" s="158"/>
      <c r="AX891" s="158"/>
      <c r="AY891" s="158"/>
      <c r="AZ891" s="158"/>
      <c r="BA891" s="158"/>
      <c r="BB891" s="158"/>
      <c r="BC891" s="158"/>
      <c r="BD891" s="158"/>
      <c r="BE891" s="158"/>
      <c r="BF891" s="158"/>
      <c r="BG891" s="158"/>
      <c r="BH891" s="158"/>
      <c r="BI891" s="158"/>
      <c r="BJ891" s="158"/>
      <c r="BK891" s="158"/>
      <c r="BL891" s="158"/>
      <c r="BM891" s="158"/>
      <c r="BN891" s="158"/>
      <c r="BO891" s="158"/>
      <c r="BP891" s="158"/>
      <c r="BQ891" s="158"/>
      <c r="BR891" s="158"/>
    </row>
    <row r="892">
      <c r="A892" s="158"/>
      <c r="B892" s="210"/>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c r="AW892" s="158"/>
      <c r="AX892" s="158"/>
      <c r="AY892" s="158"/>
      <c r="AZ892" s="158"/>
      <c r="BA892" s="158"/>
      <c r="BB892" s="158"/>
      <c r="BC892" s="158"/>
      <c r="BD892" s="158"/>
      <c r="BE892" s="158"/>
      <c r="BF892" s="158"/>
      <c r="BG892" s="158"/>
      <c r="BH892" s="158"/>
      <c r="BI892" s="158"/>
      <c r="BJ892" s="158"/>
      <c r="BK892" s="158"/>
      <c r="BL892" s="158"/>
      <c r="BM892" s="158"/>
      <c r="BN892" s="158"/>
      <c r="BO892" s="158"/>
      <c r="BP892" s="158"/>
      <c r="BQ892" s="158"/>
      <c r="BR892" s="158"/>
    </row>
    <row r="893">
      <c r="A893" s="158"/>
      <c r="B893" s="210"/>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c r="AW893" s="158"/>
      <c r="AX893" s="158"/>
      <c r="AY893" s="158"/>
      <c r="AZ893" s="158"/>
      <c r="BA893" s="158"/>
      <c r="BB893" s="158"/>
      <c r="BC893" s="158"/>
      <c r="BD893" s="158"/>
      <c r="BE893" s="158"/>
      <c r="BF893" s="158"/>
      <c r="BG893" s="158"/>
      <c r="BH893" s="158"/>
      <c r="BI893" s="158"/>
      <c r="BJ893" s="158"/>
      <c r="BK893" s="158"/>
      <c r="BL893" s="158"/>
      <c r="BM893" s="158"/>
      <c r="BN893" s="158"/>
      <c r="BO893" s="158"/>
      <c r="BP893" s="158"/>
      <c r="BQ893" s="158"/>
      <c r="BR893" s="158"/>
    </row>
    <row r="894">
      <c r="A894" s="158"/>
      <c r="B894" s="210"/>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c r="AW894" s="158"/>
      <c r="AX894" s="158"/>
      <c r="AY894" s="158"/>
      <c r="AZ894" s="158"/>
      <c r="BA894" s="158"/>
      <c r="BB894" s="158"/>
      <c r="BC894" s="158"/>
      <c r="BD894" s="158"/>
      <c r="BE894" s="158"/>
      <c r="BF894" s="158"/>
      <c r="BG894" s="158"/>
      <c r="BH894" s="158"/>
      <c r="BI894" s="158"/>
      <c r="BJ894" s="158"/>
      <c r="BK894" s="158"/>
      <c r="BL894" s="158"/>
      <c r="BM894" s="158"/>
      <c r="BN894" s="158"/>
      <c r="BO894" s="158"/>
      <c r="BP894" s="158"/>
      <c r="BQ894" s="158"/>
      <c r="BR894" s="158"/>
    </row>
    <row r="895">
      <c r="A895" s="158"/>
      <c r="B895" s="210"/>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c r="BF895" s="158"/>
      <c r="BG895" s="158"/>
      <c r="BH895" s="158"/>
      <c r="BI895" s="158"/>
      <c r="BJ895" s="158"/>
      <c r="BK895" s="158"/>
      <c r="BL895" s="158"/>
      <c r="BM895" s="158"/>
      <c r="BN895" s="158"/>
      <c r="BO895" s="158"/>
      <c r="BP895" s="158"/>
      <c r="BQ895" s="158"/>
      <c r="BR895" s="158"/>
    </row>
    <row r="896">
      <c r="A896" s="158"/>
      <c r="B896" s="210"/>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c r="BF896" s="158"/>
      <c r="BG896" s="158"/>
      <c r="BH896" s="158"/>
      <c r="BI896" s="158"/>
      <c r="BJ896" s="158"/>
      <c r="BK896" s="158"/>
      <c r="BL896" s="158"/>
      <c r="BM896" s="158"/>
      <c r="BN896" s="158"/>
      <c r="BO896" s="158"/>
      <c r="BP896" s="158"/>
      <c r="BQ896" s="158"/>
      <c r="BR896" s="158"/>
    </row>
    <row r="897">
      <c r="A897" s="158"/>
      <c r="B897" s="210"/>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c r="BF897" s="158"/>
      <c r="BG897" s="158"/>
      <c r="BH897" s="158"/>
      <c r="BI897" s="158"/>
      <c r="BJ897" s="158"/>
      <c r="BK897" s="158"/>
      <c r="BL897" s="158"/>
      <c r="BM897" s="158"/>
      <c r="BN897" s="158"/>
      <c r="BO897" s="158"/>
      <c r="BP897" s="158"/>
      <c r="BQ897" s="158"/>
      <c r="BR897" s="158"/>
    </row>
    <row r="898">
      <c r="A898" s="158"/>
      <c r="B898" s="210"/>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c r="BF898" s="158"/>
      <c r="BG898" s="158"/>
      <c r="BH898" s="158"/>
      <c r="BI898" s="158"/>
      <c r="BJ898" s="158"/>
      <c r="BK898" s="158"/>
      <c r="BL898" s="158"/>
      <c r="BM898" s="158"/>
      <c r="BN898" s="158"/>
      <c r="BO898" s="158"/>
      <c r="BP898" s="158"/>
      <c r="BQ898" s="158"/>
      <c r="BR898" s="158"/>
    </row>
    <row r="899">
      <c r="A899" s="158"/>
      <c r="B899" s="210"/>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c r="BF899" s="158"/>
      <c r="BG899" s="158"/>
      <c r="BH899" s="158"/>
      <c r="BI899" s="158"/>
      <c r="BJ899" s="158"/>
      <c r="BK899" s="158"/>
      <c r="BL899" s="158"/>
      <c r="BM899" s="158"/>
      <c r="BN899" s="158"/>
      <c r="BO899" s="158"/>
      <c r="BP899" s="158"/>
      <c r="BQ899" s="158"/>
      <c r="BR899" s="158"/>
    </row>
    <row r="900">
      <c r="A900" s="158"/>
      <c r="B900" s="210"/>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c r="BF900" s="158"/>
      <c r="BG900" s="158"/>
      <c r="BH900" s="158"/>
      <c r="BI900" s="158"/>
      <c r="BJ900" s="158"/>
      <c r="BK900" s="158"/>
      <c r="BL900" s="158"/>
      <c r="BM900" s="158"/>
      <c r="BN900" s="158"/>
      <c r="BO900" s="158"/>
      <c r="BP900" s="158"/>
      <c r="BQ900" s="158"/>
      <c r="BR900" s="158"/>
    </row>
    <row r="901">
      <c r="A901" s="158"/>
      <c r="B901" s="210"/>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c r="BF901" s="158"/>
      <c r="BG901" s="158"/>
      <c r="BH901" s="158"/>
      <c r="BI901" s="158"/>
      <c r="BJ901" s="158"/>
      <c r="BK901" s="158"/>
      <c r="BL901" s="158"/>
      <c r="BM901" s="158"/>
      <c r="BN901" s="158"/>
      <c r="BO901" s="158"/>
      <c r="BP901" s="158"/>
      <c r="BQ901" s="158"/>
      <c r="BR901" s="158"/>
    </row>
    <row r="902">
      <c r="A902" s="158"/>
      <c r="B902" s="210"/>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c r="BF902" s="158"/>
      <c r="BG902" s="158"/>
      <c r="BH902" s="158"/>
      <c r="BI902" s="158"/>
      <c r="BJ902" s="158"/>
      <c r="BK902" s="158"/>
      <c r="BL902" s="158"/>
      <c r="BM902" s="158"/>
      <c r="BN902" s="158"/>
      <c r="BO902" s="158"/>
      <c r="BP902" s="158"/>
      <c r="BQ902" s="158"/>
      <c r="BR902" s="158"/>
    </row>
    <row r="903">
      <c r="A903" s="158"/>
      <c r="B903" s="210"/>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c r="BF903" s="158"/>
      <c r="BG903" s="158"/>
      <c r="BH903" s="158"/>
      <c r="BI903" s="158"/>
      <c r="BJ903" s="158"/>
      <c r="BK903" s="158"/>
      <c r="BL903" s="158"/>
      <c r="BM903" s="158"/>
      <c r="BN903" s="158"/>
      <c r="BO903" s="158"/>
      <c r="BP903" s="158"/>
      <c r="BQ903" s="158"/>
      <c r="BR903" s="158"/>
    </row>
    <row r="904">
      <c r="A904" s="158"/>
      <c r="B904" s="210"/>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c r="BF904" s="158"/>
      <c r="BG904" s="158"/>
      <c r="BH904" s="158"/>
      <c r="BI904" s="158"/>
      <c r="BJ904" s="158"/>
      <c r="BK904" s="158"/>
      <c r="BL904" s="158"/>
      <c r="BM904" s="158"/>
      <c r="BN904" s="158"/>
      <c r="BO904" s="158"/>
      <c r="BP904" s="158"/>
      <c r="BQ904" s="158"/>
      <c r="BR904" s="158"/>
    </row>
    <row r="905">
      <c r="A905" s="158"/>
      <c r="B905" s="210"/>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c r="BF905" s="158"/>
      <c r="BG905" s="158"/>
      <c r="BH905" s="158"/>
      <c r="BI905" s="158"/>
      <c r="BJ905" s="158"/>
      <c r="BK905" s="158"/>
      <c r="BL905" s="158"/>
      <c r="BM905" s="158"/>
      <c r="BN905" s="158"/>
      <c r="BO905" s="158"/>
      <c r="BP905" s="158"/>
      <c r="BQ905" s="158"/>
      <c r="BR905" s="158"/>
    </row>
    <row r="906">
      <c r="A906" s="158"/>
      <c r="B906" s="210"/>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c r="BF906" s="158"/>
      <c r="BG906" s="158"/>
      <c r="BH906" s="158"/>
      <c r="BI906" s="158"/>
      <c r="BJ906" s="158"/>
      <c r="BK906" s="158"/>
      <c r="BL906" s="158"/>
      <c r="BM906" s="158"/>
      <c r="BN906" s="158"/>
      <c r="BO906" s="158"/>
      <c r="BP906" s="158"/>
      <c r="BQ906" s="158"/>
      <c r="BR906" s="158"/>
    </row>
    <row r="907">
      <c r="A907" s="158"/>
      <c r="B907" s="210"/>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c r="BF907" s="158"/>
      <c r="BG907" s="158"/>
      <c r="BH907" s="158"/>
      <c r="BI907" s="158"/>
      <c r="BJ907" s="158"/>
      <c r="BK907" s="158"/>
      <c r="BL907" s="158"/>
      <c r="BM907" s="158"/>
      <c r="BN907" s="158"/>
      <c r="BO907" s="158"/>
      <c r="BP907" s="158"/>
      <c r="BQ907" s="158"/>
      <c r="BR907" s="158"/>
    </row>
    <row r="908">
      <c r="A908" s="158"/>
      <c r="B908" s="210"/>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c r="BF908" s="158"/>
      <c r="BG908" s="158"/>
      <c r="BH908" s="158"/>
      <c r="BI908" s="158"/>
      <c r="BJ908" s="158"/>
      <c r="BK908" s="158"/>
      <c r="BL908" s="158"/>
      <c r="BM908" s="158"/>
      <c r="BN908" s="158"/>
      <c r="BO908" s="158"/>
      <c r="BP908" s="158"/>
      <c r="BQ908" s="158"/>
      <c r="BR908" s="158"/>
    </row>
    <row r="909">
      <c r="A909" s="158"/>
      <c r="B909" s="210"/>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c r="AW909" s="158"/>
      <c r="AX909" s="158"/>
      <c r="AY909" s="158"/>
      <c r="AZ909" s="158"/>
      <c r="BA909" s="158"/>
      <c r="BB909" s="158"/>
      <c r="BC909" s="158"/>
      <c r="BD909" s="158"/>
      <c r="BE909" s="158"/>
      <c r="BF909" s="158"/>
      <c r="BG909" s="158"/>
      <c r="BH909" s="158"/>
      <c r="BI909" s="158"/>
      <c r="BJ909" s="158"/>
      <c r="BK909" s="158"/>
      <c r="BL909" s="158"/>
      <c r="BM909" s="158"/>
      <c r="BN909" s="158"/>
      <c r="BO909" s="158"/>
      <c r="BP909" s="158"/>
      <c r="BQ909" s="158"/>
      <c r="BR909" s="158"/>
    </row>
    <row r="910">
      <c r="A910" s="158"/>
      <c r="B910" s="210"/>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c r="AW910" s="158"/>
      <c r="AX910" s="158"/>
      <c r="AY910" s="158"/>
      <c r="AZ910" s="158"/>
      <c r="BA910" s="158"/>
      <c r="BB910" s="158"/>
      <c r="BC910" s="158"/>
      <c r="BD910" s="158"/>
      <c r="BE910" s="158"/>
      <c r="BF910" s="158"/>
      <c r="BG910" s="158"/>
      <c r="BH910" s="158"/>
      <c r="BI910" s="158"/>
      <c r="BJ910" s="158"/>
      <c r="BK910" s="158"/>
      <c r="BL910" s="158"/>
      <c r="BM910" s="158"/>
      <c r="BN910" s="158"/>
      <c r="BO910" s="158"/>
      <c r="BP910" s="158"/>
      <c r="BQ910" s="158"/>
      <c r="BR910" s="158"/>
    </row>
    <row r="911">
      <c r="A911" s="158"/>
      <c r="B911" s="210"/>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c r="AW911" s="158"/>
      <c r="AX911" s="158"/>
      <c r="AY911" s="158"/>
      <c r="AZ911" s="158"/>
      <c r="BA911" s="158"/>
      <c r="BB911" s="158"/>
      <c r="BC911" s="158"/>
      <c r="BD911" s="158"/>
      <c r="BE911" s="158"/>
      <c r="BF911" s="158"/>
      <c r="BG911" s="158"/>
      <c r="BH911" s="158"/>
      <c r="BI911" s="158"/>
      <c r="BJ911" s="158"/>
      <c r="BK911" s="158"/>
      <c r="BL911" s="158"/>
      <c r="BM911" s="158"/>
      <c r="BN911" s="158"/>
      <c r="BO911" s="158"/>
      <c r="BP911" s="158"/>
      <c r="BQ911" s="158"/>
      <c r="BR911" s="158"/>
    </row>
    <row r="912">
      <c r="A912" s="158"/>
      <c r="B912" s="210"/>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c r="AW912" s="158"/>
      <c r="AX912" s="158"/>
      <c r="AY912" s="158"/>
      <c r="AZ912" s="158"/>
      <c r="BA912" s="158"/>
      <c r="BB912" s="158"/>
      <c r="BC912" s="158"/>
      <c r="BD912" s="158"/>
      <c r="BE912" s="158"/>
      <c r="BF912" s="158"/>
      <c r="BG912" s="158"/>
      <c r="BH912" s="158"/>
      <c r="BI912" s="158"/>
      <c r="BJ912" s="158"/>
      <c r="BK912" s="158"/>
      <c r="BL912" s="158"/>
      <c r="BM912" s="158"/>
      <c r="BN912" s="158"/>
      <c r="BO912" s="158"/>
      <c r="BP912" s="158"/>
      <c r="BQ912" s="158"/>
      <c r="BR912" s="158"/>
    </row>
    <row r="913">
      <c r="A913" s="158"/>
      <c r="B913" s="210"/>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c r="AW913" s="158"/>
      <c r="AX913" s="158"/>
      <c r="AY913" s="158"/>
      <c r="AZ913" s="158"/>
      <c r="BA913" s="158"/>
      <c r="BB913" s="158"/>
      <c r="BC913" s="158"/>
      <c r="BD913" s="158"/>
      <c r="BE913" s="158"/>
      <c r="BF913" s="158"/>
      <c r="BG913" s="158"/>
      <c r="BH913" s="158"/>
      <c r="BI913" s="158"/>
      <c r="BJ913" s="158"/>
      <c r="BK913" s="158"/>
      <c r="BL913" s="158"/>
      <c r="BM913" s="158"/>
      <c r="BN913" s="158"/>
      <c r="BO913" s="158"/>
      <c r="BP913" s="158"/>
      <c r="BQ913" s="158"/>
      <c r="BR913" s="158"/>
    </row>
    <row r="914">
      <c r="A914" s="158"/>
      <c r="B914" s="210"/>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c r="AW914" s="158"/>
      <c r="AX914" s="158"/>
      <c r="AY914" s="158"/>
      <c r="AZ914" s="158"/>
      <c r="BA914" s="158"/>
      <c r="BB914" s="158"/>
      <c r="BC914" s="158"/>
      <c r="BD914" s="158"/>
      <c r="BE914" s="158"/>
      <c r="BF914" s="158"/>
      <c r="BG914" s="158"/>
      <c r="BH914" s="158"/>
      <c r="BI914" s="158"/>
      <c r="BJ914" s="158"/>
      <c r="BK914" s="158"/>
      <c r="BL914" s="158"/>
      <c r="BM914" s="158"/>
      <c r="BN914" s="158"/>
      <c r="BO914" s="158"/>
      <c r="BP914" s="158"/>
      <c r="BQ914" s="158"/>
      <c r="BR914" s="158"/>
    </row>
    <row r="915">
      <c r="A915" s="158"/>
      <c r="B915" s="210"/>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c r="AW915" s="158"/>
      <c r="AX915" s="158"/>
      <c r="AY915" s="158"/>
      <c r="AZ915" s="158"/>
      <c r="BA915" s="158"/>
      <c r="BB915" s="158"/>
      <c r="BC915" s="158"/>
      <c r="BD915" s="158"/>
      <c r="BE915" s="158"/>
      <c r="BF915" s="158"/>
      <c r="BG915" s="158"/>
      <c r="BH915" s="158"/>
      <c r="BI915" s="158"/>
      <c r="BJ915" s="158"/>
      <c r="BK915" s="158"/>
      <c r="BL915" s="158"/>
      <c r="BM915" s="158"/>
      <c r="BN915" s="158"/>
      <c r="BO915" s="158"/>
      <c r="BP915" s="158"/>
      <c r="BQ915" s="158"/>
      <c r="BR915" s="158"/>
    </row>
    <row r="916">
      <c r="A916" s="158"/>
      <c r="B916" s="210"/>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c r="BF916" s="158"/>
      <c r="BG916" s="158"/>
      <c r="BH916" s="158"/>
      <c r="BI916" s="158"/>
      <c r="BJ916" s="158"/>
      <c r="BK916" s="158"/>
      <c r="BL916" s="158"/>
      <c r="BM916" s="158"/>
      <c r="BN916" s="158"/>
      <c r="BO916" s="158"/>
      <c r="BP916" s="158"/>
      <c r="BQ916" s="158"/>
      <c r="BR916" s="158"/>
    </row>
    <row r="917">
      <c r="A917" s="158"/>
      <c r="B917" s="210"/>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c r="BF917" s="158"/>
      <c r="BG917" s="158"/>
      <c r="BH917" s="158"/>
      <c r="BI917" s="158"/>
      <c r="BJ917" s="158"/>
      <c r="BK917" s="158"/>
      <c r="BL917" s="158"/>
      <c r="BM917" s="158"/>
      <c r="BN917" s="158"/>
      <c r="BO917" s="158"/>
      <c r="BP917" s="158"/>
      <c r="BQ917" s="158"/>
      <c r="BR917" s="158"/>
    </row>
    <row r="918">
      <c r="A918" s="158"/>
      <c r="B918" s="210"/>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c r="BF918" s="158"/>
      <c r="BG918" s="158"/>
      <c r="BH918" s="158"/>
      <c r="BI918" s="158"/>
      <c r="BJ918" s="158"/>
      <c r="BK918" s="158"/>
      <c r="BL918" s="158"/>
      <c r="BM918" s="158"/>
      <c r="BN918" s="158"/>
      <c r="BO918" s="158"/>
      <c r="BP918" s="158"/>
      <c r="BQ918" s="158"/>
      <c r="BR918" s="158"/>
    </row>
    <row r="919">
      <c r="A919" s="158"/>
      <c r="B919" s="210"/>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c r="AW919" s="158"/>
      <c r="AX919" s="158"/>
      <c r="AY919" s="158"/>
      <c r="AZ919" s="158"/>
      <c r="BA919" s="158"/>
      <c r="BB919" s="158"/>
      <c r="BC919" s="158"/>
      <c r="BD919" s="158"/>
      <c r="BE919" s="158"/>
      <c r="BF919" s="158"/>
      <c r="BG919" s="158"/>
      <c r="BH919" s="158"/>
      <c r="BI919" s="158"/>
      <c r="BJ919" s="158"/>
      <c r="BK919" s="158"/>
      <c r="BL919" s="158"/>
      <c r="BM919" s="158"/>
      <c r="BN919" s="158"/>
      <c r="BO919" s="158"/>
      <c r="BP919" s="158"/>
      <c r="BQ919" s="158"/>
      <c r="BR919" s="158"/>
    </row>
    <row r="920">
      <c r="A920" s="158"/>
      <c r="B920" s="210"/>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c r="AW920" s="158"/>
      <c r="AX920" s="158"/>
      <c r="AY920" s="158"/>
      <c r="AZ920" s="158"/>
      <c r="BA920" s="158"/>
      <c r="BB920" s="158"/>
      <c r="BC920" s="158"/>
      <c r="BD920" s="158"/>
      <c r="BE920" s="158"/>
      <c r="BF920" s="158"/>
      <c r="BG920" s="158"/>
      <c r="BH920" s="158"/>
      <c r="BI920" s="158"/>
      <c r="BJ920" s="158"/>
      <c r="BK920" s="158"/>
      <c r="BL920" s="158"/>
      <c r="BM920" s="158"/>
      <c r="BN920" s="158"/>
      <c r="BO920" s="158"/>
      <c r="BP920" s="158"/>
      <c r="BQ920" s="158"/>
      <c r="BR920" s="158"/>
    </row>
    <row r="921">
      <c r="A921" s="158"/>
      <c r="B921" s="210"/>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c r="AW921" s="158"/>
      <c r="AX921" s="158"/>
      <c r="AY921" s="158"/>
      <c r="AZ921" s="158"/>
      <c r="BA921" s="158"/>
      <c r="BB921" s="158"/>
      <c r="BC921" s="158"/>
      <c r="BD921" s="158"/>
      <c r="BE921" s="158"/>
      <c r="BF921" s="158"/>
      <c r="BG921" s="158"/>
      <c r="BH921" s="158"/>
      <c r="BI921" s="158"/>
      <c r="BJ921" s="158"/>
      <c r="BK921" s="158"/>
      <c r="BL921" s="158"/>
      <c r="BM921" s="158"/>
      <c r="BN921" s="158"/>
      <c r="BO921" s="158"/>
      <c r="BP921" s="158"/>
      <c r="BQ921" s="158"/>
      <c r="BR921" s="158"/>
    </row>
    <row r="922">
      <c r="A922" s="158"/>
      <c r="B922" s="210"/>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c r="AW922" s="158"/>
      <c r="AX922" s="158"/>
      <c r="AY922" s="158"/>
      <c r="AZ922" s="158"/>
      <c r="BA922" s="158"/>
      <c r="BB922" s="158"/>
      <c r="BC922" s="158"/>
      <c r="BD922" s="158"/>
      <c r="BE922" s="158"/>
      <c r="BF922" s="158"/>
      <c r="BG922" s="158"/>
      <c r="BH922" s="158"/>
      <c r="BI922" s="158"/>
      <c r="BJ922" s="158"/>
      <c r="BK922" s="158"/>
      <c r="BL922" s="158"/>
      <c r="BM922" s="158"/>
      <c r="BN922" s="158"/>
      <c r="BO922" s="158"/>
      <c r="BP922" s="158"/>
      <c r="BQ922" s="158"/>
      <c r="BR922" s="158"/>
    </row>
    <row r="923">
      <c r="A923" s="158"/>
      <c r="B923" s="210"/>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c r="AW923" s="158"/>
      <c r="AX923" s="158"/>
      <c r="AY923" s="158"/>
      <c r="AZ923" s="158"/>
      <c r="BA923" s="158"/>
      <c r="BB923" s="158"/>
      <c r="BC923" s="158"/>
      <c r="BD923" s="158"/>
      <c r="BE923" s="158"/>
      <c r="BF923" s="158"/>
      <c r="BG923" s="158"/>
      <c r="BH923" s="158"/>
      <c r="BI923" s="158"/>
      <c r="BJ923" s="158"/>
      <c r="BK923" s="158"/>
      <c r="BL923" s="158"/>
      <c r="BM923" s="158"/>
      <c r="BN923" s="158"/>
      <c r="BO923" s="158"/>
      <c r="BP923" s="158"/>
      <c r="BQ923" s="158"/>
      <c r="BR923" s="158"/>
    </row>
    <row r="924">
      <c r="A924" s="158"/>
      <c r="B924" s="210"/>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c r="AW924" s="158"/>
      <c r="AX924" s="158"/>
      <c r="AY924" s="158"/>
      <c r="AZ924" s="158"/>
      <c r="BA924" s="158"/>
      <c r="BB924" s="158"/>
      <c r="BC924" s="158"/>
      <c r="BD924" s="158"/>
      <c r="BE924" s="158"/>
      <c r="BF924" s="158"/>
      <c r="BG924" s="158"/>
      <c r="BH924" s="158"/>
      <c r="BI924" s="158"/>
      <c r="BJ924" s="158"/>
      <c r="BK924" s="158"/>
      <c r="BL924" s="158"/>
      <c r="BM924" s="158"/>
      <c r="BN924" s="158"/>
      <c r="BO924" s="158"/>
      <c r="BP924" s="158"/>
      <c r="BQ924" s="158"/>
      <c r="BR924" s="158"/>
    </row>
    <row r="925">
      <c r="A925" s="158"/>
      <c r="B925" s="210"/>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c r="AW925" s="158"/>
      <c r="AX925" s="158"/>
      <c r="AY925" s="158"/>
      <c r="AZ925" s="158"/>
      <c r="BA925" s="158"/>
      <c r="BB925" s="158"/>
      <c r="BC925" s="158"/>
      <c r="BD925" s="158"/>
      <c r="BE925" s="158"/>
      <c r="BF925" s="158"/>
      <c r="BG925" s="158"/>
      <c r="BH925" s="158"/>
      <c r="BI925" s="158"/>
      <c r="BJ925" s="158"/>
      <c r="BK925" s="158"/>
      <c r="BL925" s="158"/>
      <c r="BM925" s="158"/>
      <c r="BN925" s="158"/>
      <c r="BO925" s="158"/>
      <c r="BP925" s="158"/>
      <c r="BQ925" s="158"/>
      <c r="BR925" s="158"/>
    </row>
    <row r="926">
      <c r="A926" s="158"/>
      <c r="B926" s="210"/>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c r="BF926" s="158"/>
      <c r="BG926" s="158"/>
      <c r="BH926" s="158"/>
      <c r="BI926" s="158"/>
      <c r="BJ926" s="158"/>
      <c r="BK926" s="158"/>
      <c r="BL926" s="158"/>
      <c r="BM926" s="158"/>
      <c r="BN926" s="158"/>
      <c r="BO926" s="158"/>
      <c r="BP926" s="158"/>
      <c r="BQ926" s="158"/>
      <c r="BR926" s="158"/>
    </row>
    <row r="927">
      <c r="A927" s="158"/>
      <c r="B927" s="210"/>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c r="AW927" s="158"/>
      <c r="AX927" s="158"/>
      <c r="AY927" s="158"/>
      <c r="AZ927" s="158"/>
      <c r="BA927" s="158"/>
      <c r="BB927" s="158"/>
      <c r="BC927" s="158"/>
      <c r="BD927" s="158"/>
      <c r="BE927" s="158"/>
      <c r="BF927" s="158"/>
      <c r="BG927" s="158"/>
      <c r="BH927" s="158"/>
      <c r="BI927" s="158"/>
      <c r="BJ927" s="158"/>
      <c r="BK927" s="158"/>
      <c r="BL927" s="158"/>
      <c r="BM927" s="158"/>
      <c r="BN927" s="158"/>
      <c r="BO927" s="158"/>
      <c r="BP927" s="158"/>
      <c r="BQ927" s="158"/>
      <c r="BR927" s="158"/>
    </row>
    <row r="928">
      <c r="A928" s="158"/>
      <c r="B928" s="210"/>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c r="AW928" s="158"/>
      <c r="AX928" s="158"/>
      <c r="AY928" s="158"/>
      <c r="AZ928" s="158"/>
      <c r="BA928" s="158"/>
      <c r="BB928" s="158"/>
      <c r="BC928" s="158"/>
      <c r="BD928" s="158"/>
      <c r="BE928" s="158"/>
      <c r="BF928" s="158"/>
      <c r="BG928" s="158"/>
      <c r="BH928" s="158"/>
      <c r="BI928" s="158"/>
      <c r="BJ928" s="158"/>
      <c r="BK928" s="158"/>
      <c r="BL928" s="158"/>
      <c r="BM928" s="158"/>
      <c r="BN928" s="158"/>
      <c r="BO928" s="158"/>
      <c r="BP928" s="158"/>
      <c r="BQ928" s="158"/>
      <c r="BR928" s="158"/>
    </row>
    <row r="929">
      <c r="A929" s="158"/>
      <c r="B929" s="210"/>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c r="AW929" s="158"/>
      <c r="AX929" s="158"/>
      <c r="AY929" s="158"/>
      <c r="AZ929" s="158"/>
      <c r="BA929" s="158"/>
      <c r="BB929" s="158"/>
      <c r="BC929" s="158"/>
      <c r="BD929" s="158"/>
      <c r="BE929" s="158"/>
      <c r="BF929" s="158"/>
      <c r="BG929" s="158"/>
      <c r="BH929" s="158"/>
      <c r="BI929" s="158"/>
      <c r="BJ929" s="158"/>
      <c r="BK929" s="158"/>
      <c r="BL929" s="158"/>
      <c r="BM929" s="158"/>
      <c r="BN929" s="158"/>
      <c r="BO929" s="158"/>
      <c r="BP929" s="158"/>
      <c r="BQ929" s="158"/>
      <c r="BR929" s="158"/>
    </row>
    <row r="930">
      <c r="A930" s="158"/>
      <c r="B930" s="210"/>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c r="AW930" s="158"/>
      <c r="AX930" s="158"/>
      <c r="AY930" s="158"/>
      <c r="AZ930" s="158"/>
      <c r="BA930" s="158"/>
      <c r="BB930" s="158"/>
      <c r="BC930" s="158"/>
      <c r="BD930" s="158"/>
      <c r="BE930" s="158"/>
      <c r="BF930" s="158"/>
      <c r="BG930" s="158"/>
      <c r="BH930" s="158"/>
      <c r="BI930" s="158"/>
      <c r="BJ930" s="158"/>
      <c r="BK930" s="158"/>
      <c r="BL930" s="158"/>
      <c r="BM930" s="158"/>
      <c r="BN930" s="158"/>
      <c r="BO930" s="158"/>
      <c r="BP930" s="158"/>
      <c r="BQ930" s="158"/>
      <c r="BR930" s="158"/>
    </row>
    <row r="931">
      <c r="A931" s="158"/>
      <c r="B931" s="210"/>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c r="AW931" s="158"/>
      <c r="AX931" s="158"/>
      <c r="AY931" s="158"/>
      <c r="AZ931" s="158"/>
      <c r="BA931" s="158"/>
      <c r="BB931" s="158"/>
      <c r="BC931" s="158"/>
      <c r="BD931" s="158"/>
      <c r="BE931" s="158"/>
      <c r="BF931" s="158"/>
      <c r="BG931" s="158"/>
      <c r="BH931" s="158"/>
      <c r="BI931" s="158"/>
      <c r="BJ931" s="158"/>
      <c r="BK931" s="158"/>
      <c r="BL931" s="158"/>
      <c r="BM931" s="158"/>
      <c r="BN931" s="158"/>
      <c r="BO931" s="158"/>
      <c r="BP931" s="158"/>
      <c r="BQ931" s="158"/>
      <c r="BR931" s="158"/>
    </row>
    <row r="932">
      <c r="A932" s="158"/>
      <c r="B932" s="210"/>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c r="BF932" s="158"/>
      <c r="BG932" s="158"/>
      <c r="BH932" s="158"/>
      <c r="BI932" s="158"/>
      <c r="BJ932" s="158"/>
      <c r="BK932" s="158"/>
      <c r="BL932" s="158"/>
      <c r="BM932" s="158"/>
      <c r="BN932" s="158"/>
      <c r="BO932" s="158"/>
      <c r="BP932" s="158"/>
      <c r="BQ932" s="158"/>
      <c r="BR932" s="158"/>
    </row>
    <row r="933">
      <c r="A933" s="158"/>
      <c r="B933" s="210"/>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c r="BF933" s="158"/>
      <c r="BG933" s="158"/>
      <c r="BH933" s="158"/>
      <c r="BI933" s="158"/>
      <c r="BJ933" s="158"/>
      <c r="BK933" s="158"/>
      <c r="BL933" s="158"/>
      <c r="BM933" s="158"/>
      <c r="BN933" s="158"/>
      <c r="BO933" s="158"/>
      <c r="BP933" s="158"/>
      <c r="BQ933" s="158"/>
      <c r="BR933" s="158"/>
    </row>
    <row r="934">
      <c r="A934" s="158"/>
      <c r="B934" s="210"/>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c r="BF934" s="158"/>
      <c r="BG934" s="158"/>
      <c r="BH934" s="158"/>
      <c r="BI934" s="158"/>
      <c r="BJ934" s="158"/>
      <c r="BK934" s="158"/>
      <c r="BL934" s="158"/>
      <c r="BM934" s="158"/>
      <c r="BN934" s="158"/>
      <c r="BO934" s="158"/>
      <c r="BP934" s="158"/>
      <c r="BQ934" s="158"/>
      <c r="BR934" s="158"/>
    </row>
    <row r="935">
      <c r="A935" s="158"/>
      <c r="B935" s="210"/>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c r="BF935" s="158"/>
      <c r="BG935" s="158"/>
      <c r="BH935" s="158"/>
      <c r="BI935" s="158"/>
      <c r="BJ935" s="158"/>
      <c r="BK935" s="158"/>
      <c r="BL935" s="158"/>
      <c r="BM935" s="158"/>
      <c r="BN935" s="158"/>
      <c r="BO935" s="158"/>
      <c r="BP935" s="158"/>
      <c r="BQ935" s="158"/>
      <c r="BR935" s="158"/>
    </row>
    <row r="936">
      <c r="A936" s="158"/>
      <c r="B936" s="210"/>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c r="BF936" s="158"/>
      <c r="BG936" s="158"/>
      <c r="BH936" s="158"/>
      <c r="BI936" s="158"/>
      <c r="BJ936" s="158"/>
      <c r="BK936" s="158"/>
      <c r="BL936" s="158"/>
      <c r="BM936" s="158"/>
      <c r="BN936" s="158"/>
      <c r="BO936" s="158"/>
      <c r="BP936" s="158"/>
      <c r="BQ936" s="158"/>
      <c r="BR936" s="158"/>
    </row>
    <row r="937">
      <c r="A937" s="158"/>
      <c r="B937" s="210"/>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c r="BF937" s="158"/>
      <c r="BG937" s="158"/>
      <c r="BH937" s="158"/>
      <c r="BI937" s="158"/>
      <c r="BJ937" s="158"/>
      <c r="BK937" s="158"/>
      <c r="BL937" s="158"/>
      <c r="BM937" s="158"/>
      <c r="BN937" s="158"/>
      <c r="BO937" s="158"/>
      <c r="BP937" s="158"/>
      <c r="BQ937" s="158"/>
      <c r="BR937" s="158"/>
    </row>
    <row r="938">
      <c r="A938" s="158"/>
      <c r="B938" s="210"/>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c r="BF938" s="158"/>
      <c r="BG938" s="158"/>
      <c r="BH938" s="158"/>
      <c r="BI938" s="158"/>
      <c r="BJ938" s="158"/>
      <c r="BK938" s="158"/>
      <c r="BL938" s="158"/>
      <c r="BM938" s="158"/>
      <c r="BN938" s="158"/>
      <c r="BO938" s="158"/>
      <c r="BP938" s="158"/>
      <c r="BQ938" s="158"/>
      <c r="BR938" s="158"/>
    </row>
    <row r="939">
      <c r="A939" s="158"/>
      <c r="B939" s="210"/>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c r="AW939" s="158"/>
      <c r="AX939" s="158"/>
      <c r="AY939" s="158"/>
      <c r="AZ939" s="158"/>
      <c r="BA939" s="158"/>
      <c r="BB939" s="158"/>
      <c r="BC939" s="158"/>
      <c r="BD939" s="158"/>
      <c r="BE939" s="158"/>
      <c r="BF939" s="158"/>
      <c r="BG939" s="158"/>
      <c r="BH939" s="158"/>
      <c r="BI939" s="158"/>
      <c r="BJ939" s="158"/>
      <c r="BK939" s="158"/>
      <c r="BL939" s="158"/>
      <c r="BM939" s="158"/>
      <c r="BN939" s="158"/>
      <c r="BO939" s="158"/>
      <c r="BP939" s="158"/>
      <c r="BQ939" s="158"/>
      <c r="BR939" s="158"/>
    </row>
    <row r="940">
      <c r="A940" s="158"/>
      <c r="B940" s="210"/>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c r="AW940" s="158"/>
      <c r="AX940" s="158"/>
      <c r="AY940" s="158"/>
      <c r="AZ940" s="158"/>
      <c r="BA940" s="158"/>
      <c r="BB940" s="158"/>
      <c r="BC940" s="158"/>
      <c r="BD940" s="158"/>
      <c r="BE940" s="158"/>
      <c r="BF940" s="158"/>
      <c r="BG940" s="158"/>
      <c r="BH940" s="158"/>
      <c r="BI940" s="158"/>
      <c r="BJ940" s="158"/>
      <c r="BK940" s="158"/>
      <c r="BL940" s="158"/>
      <c r="BM940" s="158"/>
      <c r="BN940" s="158"/>
      <c r="BO940" s="158"/>
      <c r="BP940" s="158"/>
      <c r="BQ940" s="158"/>
      <c r="BR940" s="158"/>
    </row>
    <row r="941">
      <c r="A941" s="158"/>
      <c r="B941" s="210"/>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c r="BF941" s="158"/>
      <c r="BG941" s="158"/>
      <c r="BH941" s="158"/>
      <c r="BI941" s="158"/>
      <c r="BJ941" s="158"/>
      <c r="BK941" s="158"/>
      <c r="BL941" s="158"/>
      <c r="BM941" s="158"/>
      <c r="BN941" s="158"/>
      <c r="BO941" s="158"/>
      <c r="BP941" s="158"/>
      <c r="BQ941" s="158"/>
      <c r="BR941" s="158"/>
    </row>
    <row r="942">
      <c r="A942" s="158"/>
      <c r="B942" s="210"/>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c r="AW942" s="158"/>
      <c r="AX942" s="158"/>
      <c r="AY942" s="158"/>
      <c r="AZ942" s="158"/>
      <c r="BA942" s="158"/>
      <c r="BB942" s="158"/>
      <c r="BC942" s="158"/>
      <c r="BD942" s="158"/>
      <c r="BE942" s="158"/>
      <c r="BF942" s="158"/>
      <c r="BG942" s="158"/>
      <c r="BH942" s="158"/>
      <c r="BI942" s="158"/>
      <c r="BJ942" s="158"/>
      <c r="BK942" s="158"/>
      <c r="BL942" s="158"/>
      <c r="BM942" s="158"/>
      <c r="BN942" s="158"/>
      <c r="BO942" s="158"/>
      <c r="BP942" s="158"/>
      <c r="BQ942" s="158"/>
      <c r="BR942" s="158"/>
    </row>
    <row r="943">
      <c r="A943" s="158"/>
      <c r="B943" s="210"/>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c r="AW943" s="158"/>
      <c r="AX943" s="158"/>
      <c r="AY943" s="158"/>
      <c r="AZ943" s="158"/>
      <c r="BA943" s="158"/>
      <c r="BB943" s="158"/>
      <c r="BC943" s="158"/>
      <c r="BD943" s="158"/>
      <c r="BE943" s="158"/>
      <c r="BF943" s="158"/>
      <c r="BG943" s="158"/>
      <c r="BH943" s="158"/>
      <c r="BI943" s="158"/>
      <c r="BJ943" s="158"/>
      <c r="BK943" s="158"/>
      <c r="BL943" s="158"/>
      <c r="BM943" s="158"/>
      <c r="BN943" s="158"/>
      <c r="BO943" s="158"/>
      <c r="BP943" s="158"/>
      <c r="BQ943" s="158"/>
      <c r="BR943" s="158"/>
    </row>
    <row r="944">
      <c r="A944" s="158"/>
      <c r="B944" s="210"/>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c r="AW944" s="158"/>
      <c r="AX944" s="158"/>
      <c r="AY944" s="158"/>
      <c r="AZ944" s="158"/>
      <c r="BA944" s="158"/>
      <c r="BB944" s="158"/>
      <c r="BC944" s="158"/>
      <c r="BD944" s="158"/>
      <c r="BE944" s="158"/>
      <c r="BF944" s="158"/>
      <c r="BG944" s="158"/>
      <c r="BH944" s="158"/>
      <c r="BI944" s="158"/>
      <c r="BJ944" s="158"/>
      <c r="BK944" s="158"/>
      <c r="BL944" s="158"/>
      <c r="BM944" s="158"/>
      <c r="BN944" s="158"/>
      <c r="BO944" s="158"/>
      <c r="BP944" s="158"/>
      <c r="BQ944" s="158"/>
      <c r="BR944" s="158"/>
    </row>
    <row r="945">
      <c r="A945" s="158"/>
      <c r="B945" s="210"/>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c r="AW945" s="158"/>
      <c r="AX945" s="158"/>
      <c r="AY945" s="158"/>
      <c r="AZ945" s="158"/>
      <c r="BA945" s="158"/>
      <c r="BB945" s="158"/>
      <c r="BC945" s="158"/>
      <c r="BD945" s="158"/>
      <c r="BE945" s="158"/>
      <c r="BF945" s="158"/>
      <c r="BG945" s="158"/>
      <c r="BH945" s="158"/>
      <c r="BI945" s="158"/>
      <c r="BJ945" s="158"/>
      <c r="BK945" s="158"/>
      <c r="BL945" s="158"/>
      <c r="BM945" s="158"/>
      <c r="BN945" s="158"/>
      <c r="BO945" s="158"/>
      <c r="BP945" s="158"/>
      <c r="BQ945" s="158"/>
      <c r="BR945" s="158"/>
    </row>
    <row r="946">
      <c r="A946" s="158"/>
      <c r="B946" s="210"/>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c r="AW946" s="158"/>
      <c r="AX946" s="158"/>
      <c r="AY946" s="158"/>
      <c r="AZ946" s="158"/>
      <c r="BA946" s="158"/>
      <c r="BB946" s="158"/>
      <c r="BC946" s="158"/>
      <c r="BD946" s="158"/>
      <c r="BE946" s="158"/>
      <c r="BF946" s="158"/>
      <c r="BG946" s="158"/>
      <c r="BH946" s="158"/>
      <c r="BI946" s="158"/>
      <c r="BJ946" s="158"/>
      <c r="BK946" s="158"/>
      <c r="BL946" s="158"/>
      <c r="BM946" s="158"/>
      <c r="BN946" s="158"/>
      <c r="BO946" s="158"/>
      <c r="BP946" s="158"/>
      <c r="BQ946" s="158"/>
      <c r="BR946" s="158"/>
    </row>
    <row r="947">
      <c r="A947" s="158"/>
      <c r="B947" s="210"/>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c r="AW947" s="158"/>
      <c r="AX947" s="158"/>
      <c r="AY947" s="158"/>
      <c r="AZ947" s="158"/>
      <c r="BA947" s="158"/>
      <c r="BB947" s="158"/>
      <c r="BC947" s="158"/>
      <c r="BD947" s="158"/>
      <c r="BE947" s="158"/>
      <c r="BF947" s="158"/>
      <c r="BG947" s="158"/>
      <c r="BH947" s="158"/>
      <c r="BI947" s="158"/>
      <c r="BJ947" s="158"/>
      <c r="BK947" s="158"/>
      <c r="BL947" s="158"/>
      <c r="BM947" s="158"/>
      <c r="BN947" s="158"/>
      <c r="BO947" s="158"/>
      <c r="BP947" s="158"/>
      <c r="BQ947" s="158"/>
      <c r="BR947" s="158"/>
    </row>
    <row r="948">
      <c r="A948" s="158"/>
      <c r="B948" s="210"/>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c r="AW948" s="158"/>
      <c r="AX948" s="158"/>
      <c r="AY948" s="158"/>
      <c r="AZ948" s="158"/>
      <c r="BA948" s="158"/>
      <c r="BB948" s="158"/>
      <c r="BC948" s="158"/>
      <c r="BD948" s="158"/>
      <c r="BE948" s="158"/>
      <c r="BF948" s="158"/>
      <c r="BG948" s="158"/>
      <c r="BH948" s="158"/>
      <c r="BI948" s="158"/>
      <c r="BJ948" s="158"/>
      <c r="BK948" s="158"/>
      <c r="BL948" s="158"/>
      <c r="BM948" s="158"/>
      <c r="BN948" s="158"/>
      <c r="BO948" s="158"/>
      <c r="BP948" s="158"/>
      <c r="BQ948" s="158"/>
      <c r="BR948" s="158"/>
    </row>
    <row r="949">
      <c r="A949" s="158"/>
      <c r="B949" s="210"/>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c r="AW949" s="158"/>
      <c r="AX949" s="158"/>
      <c r="AY949" s="158"/>
      <c r="AZ949" s="158"/>
      <c r="BA949" s="158"/>
      <c r="BB949" s="158"/>
      <c r="BC949" s="158"/>
      <c r="BD949" s="158"/>
      <c r="BE949" s="158"/>
      <c r="BF949" s="158"/>
      <c r="BG949" s="158"/>
      <c r="BH949" s="158"/>
      <c r="BI949" s="158"/>
      <c r="BJ949" s="158"/>
      <c r="BK949" s="158"/>
      <c r="BL949" s="158"/>
      <c r="BM949" s="158"/>
      <c r="BN949" s="158"/>
      <c r="BO949" s="158"/>
      <c r="BP949" s="158"/>
      <c r="BQ949" s="158"/>
      <c r="BR949" s="158"/>
    </row>
    <row r="950">
      <c r="A950" s="158"/>
      <c r="B950" s="210"/>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c r="AW950" s="158"/>
      <c r="AX950" s="158"/>
      <c r="AY950" s="158"/>
      <c r="AZ950" s="158"/>
      <c r="BA950" s="158"/>
      <c r="BB950" s="158"/>
      <c r="BC950" s="158"/>
      <c r="BD950" s="158"/>
      <c r="BE950" s="158"/>
      <c r="BF950" s="158"/>
      <c r="BG950" s="158"/>
      <c r="BH950" s="158"/>
      <c r="BI950" s="158"/>
      <c r="BJ950" s="158"/>
      <c r="BK950" s="158"/>
      <c r="BL950" s="158"/>
      <c r="BM950" s="158"/>
      <c r="BN950" s="158"/>
      <c r="BO950" s="158"/>
      <c r="BP950" s="158"/>
      <c r="BQ950" s="158"/>
      <c r="BR950" s="158"/>
    </row>
    <row r="951">
      <c r="A951" s="158"/>
      <c r="B951" s="210"/>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c r="AW951" s="158"/>
      <c r="AX951" s="158"/>
      <c r="AY951" s="158"/>
      <c r="AZ951" s="158"/>
      <c r="BA951" s="158"/>
      <c r="BB951" s="158"/>
      <c r="BC951" s="158"/>
      <c r="BD951" s="158"/>
      <c r="BE951" s="158"/>
      <c r="BF951" s="158"/>
      <c r="BG951" s="158"/>
      <c r="BH951" s="158"/>
      <c r="BI951" s="158"/>
      <c r="BJ951" s="158"/>
      <c r="BK951" s="158"/>
      <c r="BL951" s="158"/>
      <c r="BM951" s="158"/>
      <c r="BN951" s="158"/>
      <c r="BO951" s="158"/>
      <c r="BP951" s="158"/>
      <c r="BQ951" s="158"/>
      <c r="BR951" s="158"/>
    </row>
    <row r="952">
      <c r="A952" s="158"/>
      <c r="B952" s="210"/>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c r="AW952" s="158"/>
      <c r="AX952" s="158"/>
      <c r="AY952" s="158"/>
      <c r="AZ952" s="158"/>
      <c r="BA952" s="158"/>
      <c r="BB952" s="158"/>
      <c r="BC952" s="158"/>
      <c r="BD952" s="158"/>
      <c r="BE952" s="158"/>
      <c r="BF952" s="158"/>
      <c r="BG952" s="158"/>
      <c r="BH952" s="158"/>
      <c r="BI952" s="158"/>
      <c r="BJ952" s="158"/>
      <c r="BK952" s="158"/>
      <c r="BL952" s="158"/>
      <c r="BM952" s="158"/>
      <c r="BN952" s="158"/>
      <c r="BO952" s="158"/>
      <c r="BP952" s="158"/>
      <c r="BQ952" s="158"/>
      <c r="BR952" s="158"/>
    </row>
    <row r="953">
      <c r="A953" s="158"/>
      <c r="B953" s="210"/>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c r="AW953" s="158"/>
      <c r="AX953" s="158"/>
      <c r="AY953" s="158"/>
      <c r="AZ953" s="158"/>
      <c r="BA953" s="158"/>
      <c r="BB953" s="158"/>
      <c r="BC953" s="158"/>
      <c r="BD953" s="158"/>
      <c r="BE953" s="158"/>
      <c r="BF953" s="158"/>
      <c r="BG953" s="158"/>
      <c r="BH953" s="158"/>
      <c r="BI953" s="158"/>
      <c r="BJ953" s="158"/>
      <c r="BK953" s="158"/>
      <c r="BL953" s="158"/>
      <c r="BM953" s="158"/>
      <c r="BN953" s="158"/>
      <c r="BO953" s="158"/>
      <c r="BP953" s="158"/>
      <c r="BQ953" s="158"/>
      <c r="BR953" s="158"/>
    </row>
    <row r="954">
      <c r="A954" s="158"/>
      <c r="B954" s="210"/>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c r="AW954" s="158"/>
      <c r="AX954" s="158"/>
      <c r="AY954" s="158"/>
      <c r="AZ954" s="158"/>
      <c r="BA954" s="158"/>
      <c r="BB954" s="158"/>
      <c r="BC954" s="158"/>
      <c r="BD954" s="158"/>
      <c r="BE954" s="158"/>
      <c r="BF954" s="158"/>
      <c r="BG954" s="158"/>
      <c r="BH954" s="158"/>
      <c r="BI954" s="158"/>
      <c r="BJ954" s="158"/>
      <c r="BK954" s="158"/>
      <c r="BL954" s="158"/>
      <c r="BM954" s="158"/>
      <c r="BN954" s="158"/>
      <c r="BO954" s="158"/>
      <c r="BP954" s="158"/>
      <c r="BQ954" s="158"/>
      <c r="BR954" s="158"/>
    </row>
    <row r="955">
      <c r="A955" s="158"/>
      <c r="B955" s="210"/>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c r="AW955" s="158"/>
      <c r="AX955" s="158"/>
      <c r="AY955" s="158"/>
      <c r="AZ955" s="158"/>
      <c r="BA955" s="158"/>
      <c r="BB955" s="158"/>
      <c r="BC955" s="158"/>
      <c r="BD955" s="158"/>
      <c r="BE955" s="158"/>
      <c r="BF955" s="158"/>
      <c r="BG955" s="158"/>
      <c r="BH955" s="158"/>
      <c r="BI955" s="158"/>
      <c r="BJ955" s="158"/>
      <c r="BK955" s="158"/>
      <c r="BL955" s="158"/>
      <c r="BM955" s="158"/>
      <c r="BN955" s="158"/>
      <c r="BO955" s="158"/>
      <c r="BP955" s="158"/>
      <c r="BQ955" s="158"/>
      <c r="BR955" s="158"/>
    </row>
    <row r="956">
      <c r="A956" s="158"/>
      <c r="B956" s="210"/>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c r="AW956" s="158"/>
      <c r="AX956" s="158"/>
      <c r="AY956" s="158"/>
      <c r="AZ956" s="158"/>
      <c r="BA956" s="158"/>
      <c r="BB956" s="158"/>
      <c r="BC956" s="158"/>
      <c r="BD956" s="158"/>
      <c r="BE956" s="158"/>
      <c r="BF956" s="158"/>
      <c r="BG956" s="158"/>
      <c r="BH956" s="158"/>
      <c r="BI956" s="158"/>
      <c r="BJ956" s="158"/>
      <c r="BK956" s="158"/>
      <c r="BL956" s="158"/>
      <c r="BM956" s="158"/>
      <c r="BN956" s="158"/>
      <c r="BO956" s="158"/>
      <c r="BP956" s="158"/>
      <c r="BQ956" s="158"/>
      <c r="BR956" s="158"/>
    </row>
    <row r="957">
      <c r="A957" s="158"/>
      <c r="B957" s="210"/>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c r="AW957" s="158"/>
      <c r="AX957" s="158"/>
      <c r="AY957" s="158"/>
      <c r="AZ957" s="158"/>
      <c r="BA957" s="158"/>
      <c r="BB957" s="158"/>
      <c r="BC957" s="158"/>
      <c r="BD957" s="158"/>
      <c r="BE957" s="158"/>
      <c r="BF957" s="158"/>
      <c r="BG957" s="158"/>
      <c r="BH957" s="158"/>
      <c r="BI957" s="158"/>
      <c r="BJ957" s="158"/>
      <c r="BK957" s="158"/>
      <c r="BL957" s="158"/>
      <c r="BM957" s="158"/>
      <c r="BN957" s="158"/>
      <c r="BO957" s="158"/>
      <c r="BP957" s="158"/>
      <c r="BQ957" s="158"/>
      <c r="BR957" s="158"/>
    </row>
    <row r="958">
      <c r="A958" s="158"/>
      <c r="B958" s="210"/>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c r="AW958" s="158"/>
      <c r="AX958" s="158"/>
      <c r="AY958" s="158"/>
      <c r="AZ958" s="158"/>
      <c r="BA958" s="158"/>
      <c r="BB958" s="158"/>
      <c r="BC958" s="158"/>
      <c r="BD958" s="158"/>
      <c r="BE958" s="158"/>
      <c r="BF958" s="158"/>
      <c r="BG958" s="158"/>
      <c r="BH958" s="158"/>
      <c r="BI958" s="158"/>
      <c r="BJ958" s="158"/>
      <c r="BK958" s="158"/>
      <c r="BL958" s="158"/>
      <c r="BM958" s="158"/>
      <c r="BN958" s="158"/>
      <c r="BO958" s="158"/>
      <c r="BP958" s="158"/>
      <c r="BQ958" s="158"/>
      <c r="BR958" s="158"/>
    </row>
    <row r="959">
      <c r="A959" s="158"/>
      <c r="B959" s="210"/>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c r="AW959" s="158"/>
      <c r="AX959" s="158"/>
      <c r="AY959" s="158"/>
      <c r="AZ959" s="158"/>
      <c r="BA959" s="158"/>
      <c r="BB959" s="158"/>
      <c r="BC959" s="158"/>
      <c r="BD959" s="158"/>
      <c r="BE959" s="158"/>
      <c r="BF959" s="158"/>
      <c r="BG959" s="158"/>
      <c r="BH959" s="158"/>
      <c r="BI959" s="158"/>
      <c r="BJ959" s="158"/>
      <c r="BK959" s="158"/>
      <c r="BL959" s="158"/>
      <c r="BM959" s="158"/>
      <c r="BN959" s="158"/>
      <c r="BO959" s="158"/>
      <c r="BP959" s="158"/>
      <c r="BQ959" s="158"/>
      <c r="BR959" s="158"/>
    </row>
    <row r="960">
      <c r="A960" s="158"/>
      <c r="B960" s="210"/>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c r="BF960" s="158"/>
      <c r="BG960" s="158"/>
      <c r="BH960" s="158"/>
      <c r="BI960" s="158"/>
      <c r="BJ960" s="158"/>
      <c r="BK960" s="158"/>
      <c r="BL960" s="158"/>
      <c r="BM960" s="158"/>
      <c r="BN960" s="158"/>
      <c r="BO960" s="158"/>
      <c r="BP960" s="158"/>
      <c r="BQ960" s="158"/>
      <c r="BR960" s="158"/>
    </row>
    <row r="961">
      <c r="A961" s="158"/>
      <c r="B961" s="210"/>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c r="BF961" s="158"/>
      <c r="BG961" s="158"/>
      <c r="BH961" s="158"/>
      <c r="BI961" s="158"/>
      <c r="BJ961" s="158"/>
      <c r="BK961" s="158"/>
      <c r="BL961" s="158"/>
      <c r="BM961" s="158"/>
      <c r="BN961" s="158"/>
      <c r="BO961" s="158"/>
      <c r="BP961" s="158"/>
      <c r="BQ961" s="158"/>
      <c r="BR961" s="158"/>
    </row>
    <row r="962">
      <c r="A962" s="158"/>
      <c r="B962" s="210"/>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c r="BF962" s="158"/>
      <c r="BG962" s="158"/>
      <c r="BH962" s="158"/>
      <c r="BI962" s="158"/>
      <c r="BJ962" s="158"/>
      <c r="BK962" s="158"/>
      <c r="BL962" s="158"/>
      <c r="BM962" s="158"/>
      <c r="BN962" s="158"/>
      <c r="BO962" s="158"/>
      <c r="BP962" s="158"/>
      <c r="BQ962" s="158"/>
      <c r="BR962" s="158"/>
    </row>
    <row r="963">
      <c r="A963" s="158"/>
      <c r="B963" s="210"/>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c r="BF963" s="158"/>
      <c r="BG963" s="158"/>
      <c r="BH963" s="158"/>
      <c r="BI963" s="158"/>
      <c r="BJ963" s="158"/>
      <c r="BK963" s="158"/>
      <c r="BL963" s="158"/>
      <c r="BM963" s="158"/>
      <c r="BN963" s="158"/>
      <c r="BO963" s="158"/>
      <c r="BP963" s="158"/>
      <c r="BQ963" s="158"/>
      <c r="BR963" s="158"/>
    </row>
    <row r="964">
      <c r="A964" s="158"/>
      <c r="B964" s="210"/>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c r="BF964" s="158"/>
      <c r="BG964" s="158"/>
      <c r="BH964" s="158"/>
      <c r="BI964" s="158"/>
      <c r="BJ964" s="158"/>
      <c r="BK964" s="158"/>
      <c r="BL964" s="158"/>
      <c r="BM964" s="158"/>
      <c r="BN964" s="158"/>
      <c r="BO964" s="158"/>
      <c r="BP964" s="158"/>
      <c r="BQ964" s="158"/>
      <c r="BR964" s="158"/>
    </row>
    <row r="965">
      <c r="A965" s="158"/>
      <c r="B965" s="210"/>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c r="BF965" s="158"/>
      <c r="BG965" s="158"/>
      <c r="BH965" s="158"/>
      <c r="BI965" s="158"/>
      <c r="BJ965" s="158"/>
      <c r="BK965" s="158"/>
      <c r="BL965" s="158"/>
      <c r="BM965" s="158"/>
      <c r="BN965" s="158"/>
      <c r="BO965" s="158"/>
      <c r="BP965" s="158"/>
      <c r="BQ965" s="158"/>
      <c r="BR965" s="158"/>
    </row>
    <row r="966">
      <c r="A966" s="158"/>
      <c r="B966" s="210"/>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c r="AW966" s="158"/>
      <c r="AX966" s="158"/>
      <c r="AY966" s="158"/>
      <c r="AZ966" s="158"/>
      <c r="BA966" s="158"/>
      <c r="BB966" s="158"/>
      <c r="BC966" s="158"/>
      <c r="BD966" s="158"/>
      <c r="BE966" s="158"/>
      <c r="BF966" s="158"/>
      <c r="BG966" s="158"/>
      <c r="BH966" s="158"/>
      <c r="BI966" s="158"/>
      <c r="BJ966" s="158"/>
      <c r="BK966" s="158"/>
      <c r="BL966" s="158"/>
      <c r="BM966" s="158"/>
      <c r="BN966" s="158"/>
      <c r="BO966" s="158"/>
      <c r="BP966" s="158"/>
      <c r="BQ966" s="158"/>
      <c r="BR966" s="158"/>
    </row>
    <row r="967">
      <c r="A967" s="158"/>
      <c r="B967" s="210"/>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c r="BF967" s="158"/>
      <c r="BG967" s="158"/>
      <c r="BH967" s="158"/>
      <c r="BI967" s="158"/>
      <c r="BJ967" s="158"/>
      <c r="BK967" s="158"/>
      <c r="BL967" s="158"/>
      <c r="BM967" s="158"/>
      <c r="BN967" s="158"/>
      <c r="BO967" s="158"/>
      <c r="BP967" s="158"/>
      <c r="BQ967" s="158"/>
      <c r="BR967" s="158"/>
    </row>
    <row r="968">
      <c r="A968" s="158"/>
      <c r="B968" s="210"/>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c r="BF968" s="158"/>
      <c r="BG968" s="158"/>
      <c r="BH968" s="158"/>
      <c r="BI968" s="158"/>
      <c r="BJ968" s="158"/>
      <c r="BK968" s="158"/>
      <c r="BL968" s="158"/>
      <c r="BM968" s="158"/>
      <c r="BN968" s="158"/>
      <c r="BO968" s="158"/>
      <c r="BP968" s="158"/>
      <c r="BQ968" s="158"/>
      <c r="BR968" s="158"/>
    </row>
    <row r="969">
      <c r="A969" s="158"/>
      <c r="B969" s="210"/>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c r="BF969" s="158"/>
      <c r="BG969" s="158"/>
      <c r="BH969" s="158"/>
      <c r="BI969" s="158"/>
      <c r="BJ969" s="158"/>
      <c r="BK969" s="158"/>
      <c r="BL969" s="158"/>
      <c r="BM969" s="158"/>
      <c r="BN969" s="158"/>
      <c r="BO969" s="158"/>
      <c r="BP969" s="158"/>
      <c r="BQ969" s="158"/>
      <c r="BR969" s="158"/>
    </row>
    <row r="970">
      <c r="A970" s="158"/>
      <c r="B970" s="210"/>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c r="BF970" s="158"/>
      <c r="BG970" s="158"/>
      <c r="BH970" s="158"/>
      <c r="BI970" s="158"/>
      <c r="BJ970" s="158"/>
      <c r="BK970" s="158"/>
      <c r="BL970" s="158"/>
      <c r="BM970" s="158"/>
      <c r="BN970" s="158"/>
      <c r="BO970" s="158"/>
      <c r="BP970" s="158"/>
      <c r="BQ970" s="158"/>
      <c r="BR970" s="158"/>
    </row>
    <row r="971">
      <c r="A971" s="158"/>
      <c r="B971" s="210"/>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c r="BF971" s="158"/>
      <c r="BG971" s="158"/>
      <c r="BH971" s="158"/>
      <c r="BI971" s="158"/>
      <c r="BJ971" s="158"/>
      <c r="BK971" s="158"/>
      <c r="BL971" s="158"/>
      <c r="BM971" s="158"/>
      <c r="BN971" s="158"/>
      <c r="BO971" s="158"/>
      <c r="BP971" s="158"/>
      <c r="BQ971" s="158"/>
      <c r="BR971" s="158"/>
    </row>
    <row r="972">
      <c r="A972" s="158"/>
      <c r="B972" s="210"/>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c r="BF972" s="158"/>
      <c r="BG972" s="158"/>
      <c r="BH972" s="158"/>
      <c r="BI972" s="158"/>
      <c r="BJ972" s="158"/>
      <c r="BK972" s="158"/>
      <c r="BL972" s="158"/>
      <c r="BM972" s="158"/>
      <c r="BN972" s="158"/>
      <c r="BO972" s="158"/>
      <c r="BP972" s="158"/>
      <c r="BQ972" s="158"/>
      <c r="BR972" s="158"/>
    </row>
    <row r="973">
      <c r="A973" s="158"/>
      <c r="B973" s="210"/>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c r="BF973" s="158"/>
      <c r="BG973" s="158"/>
      <c r="BH973" s="158"/>
      <c r="BI973" s="158"/>
      <c r="BJ973" s="158"/>
      <c r="BK973" s="158"/>
      <c r="BL973" s="158"/>
      <c r="BM973" s="158"/>
      <c r="BN973" s="158"/>
      <c r="BO973" s="158"/>
      <c r="BP973" s="158"/>
      <c r="BQ973" s="158"/>
      <c r="BR973" s="158"/>
    </row>
    <row r="974">
      <c r="A974" s="158"/>
      <c r="B974" s="210"/>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c r="BF974" s="158"/>
      <c r="BG974" s="158"/>
      <c r="BH974" s="158"/>
      <c r="BI974" s="158"/>
      <c r="BJ974" s="158"/>
      <c r="BK974" s="158"/>
      <c r="BL974" s="158"/>
      <c r="BM974" s="158"/>
      <c r="BN974" s="158"/>
      <c r="BO974" s="158"/>
      <c r="BP974" s="158"/>
      <c r="BQ974" s="158"/>
      <c r="BR974" s="158"/>
    </row>
    <row r="975">
      <c r="A975" s="158"/>
      <c r="B975" s="210"/>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c r="BF975" s="158"/>
      <c r="BG975" s="158"/>
      <c r="BH975" s="158"/>
      <c r="BI975" s="158"/>
      <c r="BJ975" s="158"/>
      <c r="BK975" s="158"/>
      <c r="BL975" s="158"/>
      <c r="BM975" s="158"/>
      <c r="BN975" s="158"/>
      <c r="BO975" s="158"/>
      <c r="BP975" s="158"/>
      <c r="BQ975" s="158"/>
      <c r="BR975" s="158"/>
    </row>
    <row r="976">
      <c r="A976" s="158"/>
      <c r="B976" s="210"/>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c r="BF976" s="158"/>
      <c r="BG976" s="158"/>
      <c r="BH976" s="158"/>
      <c r="BI976" s="158"/>
      <c r="BJ976" s="158"/>
      <c r="BK976" s="158"/>
      <c r="BL976" s="158"/>
      <c r="BM976" s="158"/>
      <c r="BN976" s="158"/>
      <c r="BO976" s="158"/>
      <c r="BP976" s="158"/>
      <c r="BQ976" s="158"/>
      <c r="BR976" s="158"/>
    </row>
    <row r="977">
      <c r="A977" s="158"/>
      <c r="B977" s="210"/>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c r="AW977" s="158"/>
      <c r="AX977" s="158"/>
      <c r="AY977" s="158"/>
      <c r="AZ977" s="158"/>
      <c r="BA977" s="158"/>
      <c r="BB977" s="158"/>
      <c r="BC977" s="158"/>
      <c r="BD977" s="158"/>
      <c r="BE977" s="158"/>
      <c r="BF977" s="158"/>
      <c r="BG977" s="158"/>
      <c r="BH977" s="158"/>
      <c r="BI977" s="158"/>
      <c r="BJ977" s="158"/>
      <c r="BK977" s="158"/>
      <c r="BL977" s="158"/>
      <c r="BM977" s="158"/>
      <c r="BN977" s="158"/>
      <c r="BO977" s="158"/>
      <c r="BP977" s="158"/>
      <c r="BQ977" s="158"/>
      <c r="BR977" s="158"/>
    </row>
    <row r="978">
      <c r="A978" s="158"/>
      <c r="B978" s="210"/>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c r="AW978" s="158"/>
      <c r="AX978" s="158"/>
      <c r="AY978" s="158"/>
      <c r="AZ978" s="158"/>
      <c r="BA978" s="158"/>
      <c r="BB978" s="158"/>
      <c r="BC978" s="158"/>
      <c r="BD978" s="158"/>
      <c r="BE978" s="158"/>
      <c r="BF978" s="158"/>
      <c r="BG978" s="158"/>
      <c r="BH978" s="158"/>
      <c r="BI978" s="158"/>
      <c r="BJ978" s="158"/>
      <c r="BK978" s="158"/>
      <c r="BL978" s="158"/>
      <c r="BM978" s="158"/>
      <c r="BN978" s="158"/>
      <c r="BO978" s="158"/>
      <c r="BP978" s="158"/>
      <c r="BQ978" s="158"/>
      <c r="BR978" s="158"/>
    </row>
    <row r="979">
      <c r="A979" s="158"/>
      <c r="B979" s="210"/>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c r="AW979" s="158"/>
      <c r="AX979" s="158"/>
      <c r="AY979" s="158"/>
      <c r="AZ979" s="158"/>
      <c r="BA979" s="158"/>
      <c r="BB979" s="158"/>
      <c r="BC979" s="158"/>
      <c r="BD979" s="158"/>
      <c r="BE979" s="158"/>
      <c r="BF979" s="158"/>
      <c r="BG979" s="158"/>
      <c r="BH979" s="158"/>
      <c r="BI979" s="158"/>
      <c r="BJ979" s="158"/>
      <c r="BK979" s="158"/>
      <c r="BL979" s="158"/>
      <c r="BM979" s="158"/>
      <c r="BN979" s="158"/>
      <c r="BO979" s="158"/>
      <c r="BP979" s="158"/>
      <c r="BQ979" s="158"/>
      <c r="BR979" s="158"/>
    </row>
    <row r="980">
      <c r="A980" s="158"/>
      <c r="B980" s="210"/>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c r="AW980" s="158"/>
      <c r="AX980" s="158"/>
      <c r="AY980" s="158"/>
      <c r="AZ980" s="158"/>
      <c r="BA980" s="158"/>
      <c r="BB980" s="158"/>
      <c r="BC980" s="158"/>
      <c r="BD980" s="158"/>
      <c r="BE980" s="158"/>
      <c r="BF980" s="158"/>
      <c r="BG980" s="158"/>
      <c r="BH980" s="158"/>
      <c r="BI980" s="158"/>
      <c r="BJ980" s="158"/>
      <c r="BK980" s="158"/>
      <c r="BL980" s="158"/>
      <c r="BM980" s="158"/>
      <c r="BN980" s="158"/>
      <c r="BO980" s="158"/>
      <c r="BP980" s="158"/>
      <c r="BQ980" s="158"/>
      <c r="BR980" s="158"/>
    </row>
    <row r="981">
      <c r="A981" s="158"/>
      <c r="B981" s="210"/>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c r="AW981" s="158"/>
      <c r="AX981" s="158"/>
      <c r="AY981" s="158"/>
      <c r="AZ981" s="158"/>
      <c r="BA981" s="158"/>
      <c r="BB981" s="158"/>
      <c r="BC981" s="158"/>
      <c r="BD981" s="158"/>
      <c r="BE981" s="158"/>
      <c r="BF981" s="158"/>
      <c r="BG981" s="158"/>
      <c r="BH981" s="158"/>
      <c r="BI981" s="158"/>
      <c r="BJ981" s="158"/>
      <c r="BK981" s="158"/>
      <c r="BL981" s="158"/>
      <c r="BM981" s="158"/>
      <c r="BN981" s="158"/>
      <c r="BO981" s="158"/>
      <c r="BP981" s="158"/>
      <c r="BQ981" s="158"/>
      <c r="BR981" s="158"/>
    </row>
    <row r="982">
      <c r="A982" s="158"/>
      <c r="B982" s="210"/>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c r="AW982" s="158"/>
      <c r="AX982" s="158"/>
      <c r="AY982" s="158"/>
      <c r="AZ982" s="158"/>
      <c r="BA982" s="158"/>
      <c r="BB982" s="158"/>
      <c r="BC982" s="158"/>
      <c r="BD982" s="158"/>
      <c r="BE982" s="158"/>
      <c r="BF982" s="158"/>
      <c r="BG982" s="158"/>
      <c r="BH982" s="158"/>
      <c r="BI982" s="158"/>
      <c r="BJ982" s="158"/>
      <c r="BK982" s="158"/>
      <c r="BL982" s="158"/>
      <c r="BM982" s="158"/>
      <c r="BN982" s="158"/>
      <c r="BO982" s="158"/>
      <c r="BP982" s="158"/>
      <c r="BQ982" s="158"/>
      <c r="BR982" s="158"/>
    </row>
    <row r="983">
      <c r="A983" s="158"/>
      <c r="B983" s="210"/>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c r="AW983" s="158"/>
      <c r="AX983" s="158"/>
      <c r="AY983" s="158"/>
      <c r="AZ983" s="158"/>
      <c r="BA983" s="158"/>
      <c r="BB983" s="158"/>
      <c r="BC983" s="158"/>
      <c r="BD983" s="158"/>
      <c r="BE983" s="158"/>
      <c r="BF983" s="158"/>
      <c r="BG983" s="158"/>
      <c r="BH983" s="158"/>
      <c r="BI983" s="158"/>
      <c r="BJ983" s="158"/>
      <c r="BK983" s="158"/>
      <c r="BL983" s="158"/>
      <c r="BM983" s="158"/>
      <c r="BN983" s="158"/>
      <c r="BO983" s="158"/>
      <c r="BP983" s="158"/>
      <c r="BQ983" s="158"/>
      <c r="BR983" s="158"/>
    </row>
    <row r="984">
      <c r="A984" s="158"/>
      <c r="B984" s="210"/>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c r="AW984" s="158"/>
      <c r="AX984" s="158"/>
      <c r="AY984" s="158"/>
      <c r="AZ984" s="158"/>
      <c r="BA984" s="158"/>
      <c r="BB984" s="158"/>
      <c r="BC984" s="158"/>
      <c r="BD984" s="158"/>
      <c r="BE984" s="158"/>
      <c r="BF984" s="158"/>
      <c r="BG984" s="158"/>
      <c r="BH984" s="158"/>
      <c r="BI984" s="158"/>
      <c r="BJ984" s="158"/>
      <c r="BK984" s="158"/>
      <c r="BL984" s="158"/>
      <c r="BM984" s="158"/>
      <c r="BN984" s="158"/>
      <c r="BO984" s="158"/>
      <c r="BP984" s="158"/>
      <c r="BQ984" s="158"/>
      <c r="BR984" s="158"/>
    </row>
    <row r="985">
      <c r="A985" s="158"/>
      <c r="B985" s="210"/>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c r="AW985" s="158"/>
      <c r="AX985" s="158"/>
      <c r="AY985" s="158"/>
      <c r="AZ985" s="158"/>
      <c r="BA985" s="158"/>
      <c r="BB985" s="158"/>
      <c r="BC985" s="158"/>
      <c r="BD985" s="158"/>
      <c r="BE985" s="158"/>
      <c r="BF985" s="158"/>
      <c r="BG985" s="158"/>
      <c r="BH985" s="158"/>
      <c r="BI985" s="158"/>
      <c r="BJ985" s="158"/>
      <c r="BK985" s="158"/>
      <c r="BL985" s="158"/>
      <c r="BM985" s="158"/>
      <c r="BN985" s="158"/>
      <c r="BO985" s="158"/>
      <c r="BP985" s="158"/>
      <c r="BQ985" s="158"/>
      <c r="BR985" s="158"/>
    </row>
    <row r="986">
      <c r="A986" s="158"/>
      <c r="B986" s="210"/>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c r="AW986" s="158"/>
      <c r="AX986" s="158"/>
      <c r="AY986" s="158"/>
      <c r="AZ986" s="158"/>
      <c r="BA986" s="158"/>
      <c r="BB986" s="158"/>
      <c r="BC986" s="158"/>
      <c r="BD986" s="158"/>
      <c r="BE986" s="158"/>
      <c r="BF986" s="158"/>
      <c r="BG986" s="158"/>
      <c r="BH986" s="158"/>
      <c r="BI986" s="158"/>
      <c r="BJ986" s="158"/>
      <c r="BK986" s="158"/>
      <c r="BL986" s="158"/>
      <c r="BM986" s="158"/>
      <c r="BN986" s="158"/>
      <c r="BO986" s="158"/>
      <c r="BP986" s="158"/>
      <c r="BQ986" s="158"/>
      <c r="BR986" s="158"/>
    </row>
    <row r="987">
      <c r="A987" s="158"/>
      <c r="B987" s="210"/>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c r="AW987" s="158"/>
      <c r="AX987" s="158"/>
      <c r="AY987" s="158"/>
      <c r="AZ987" s="158"/>
      <c r="BA987" s="158"/>
      <c r="BB987" s="158"/>
      <c r="BC987" s="158"/>
      <c r="BD987" s="158"/>
      <c r="BE987" s="158"/>
      <c r="BF987" s="158"/>
      <c r="BG987" s="158"/>
      <c r="BH987" s="158"/>
      <c r="BI987" s="158"/>
      <c r="BJ987" s="158"/>
      <c r="BK987" s="158"/>
      <c r="BL987" s="158"/>
      <c r="BM987" s="158"/>
      <c r="BN987" s="158"/>
      <c r="BO987" s="158"/>
      <c r="BP987" s="158"/>
      <c r="BQ987" s="158"/>
      <c r="BR987" s="158"/>
    </row>
    <row r="988">
      <c r="A988" s="158"/>
      <c r="B988" s="210"/>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c r="AW988" s="158"/>
      <c r="AX988" s="158"/>
      <c r="AY988" s="158"/>
      <c r="AZ988" s="158"/>
      <c r="BA988" s="158"/>
      <c r="BB988" s="158"/>
      <c r="BC988" s="158"/>
      <c r="BD988" s="158"/>
      <c r="BE988" s="158"/>
      <c r="BF988" s="158"/>
      <c r="BG988" s="158"/>
      <c r="BH988" s="158"/>
      <c r="BI988" s="158"/>
      <c r="BJ988" s="158"/>
      <c r="BK988" s="158"/>
      <c r="BL988" s="158"/>
      <c r="BM988" s="158"/>
      <c r="BN988" s="158"/>
      <c r="BO988" s="158"/>
      <c r="BP988" s="158"/>
      <c r="BQ988" s="158"/>
      <c r="BR988" s="158"/>
    </row>
    <row r="989">
      <c r="A989" s="158"/>
      <c r="B989" s="210"/>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c r="AW989" s="158"/>
      <c r="AX989" s="158"/>
      <c r="AY989" s="158"/>
      <c r="AZ989" s="158"/>
      <c r="BA989" s="158"/>
      <c r="BB989" s="158"/>
      <c r="BC989" s="158"/>
      <c r="BD989" s="158"/>
      <c r="BE989" s="158"/>
      <c r="BF989" s="158"/>
      <c r="BG989" s="158"/>
      <c r="BH989" s="158"/>
      <c r="BI989" s="158"/>
      <c r="BJ989" s="158"/>
      <c r="BK989" s="158"/>
      <c r="BL989" s="158"/>
      <c r="BM989" s="158"/>
      <c r="BN989" s="158"/>
      <c r="BO989" s="158"/>
      <c r="BP989" s="158"/>
      <c r="BQ989" s="158"/>
      <c r="BR989" s="158"/>
    </row>
    <row r="990">
      <c r="A990" s="158"/>
      <c r="B990" s="210"/>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c r="AW990" s="158"/>
      <c r="AX990" s="158"/>
      <c r="AY990" s="158"/>
      <c r="AZ990" s="158"/>
      <c r="BA990" s="158"/>
      <c r="BB990" s="158"/>
      <c r="BC990" s="158"/>
      <c r="BD990" s="158"/>
      <c r="BE990" s="158"/>
      <c r="BF990" s="158"/>
      <c r="BG990" s="158"/>
      <c r="BH990" s="158"/>
      <c r="BI990" s="158"/>
      <c r="BJ990" s="158"/>
      <c r="BK990" s="158"/>
      <c r="BL990" s="158"/>
      <c r="BM990" s="158"/>
      <c r="BN990" s="158"/>
      <c r="BO990" s="158"/>
      <c r="BP990" s="158"/>
      <c r="BQ990" s="158"/>
      <c r="BR990" s="158"/>
    </row>
    <row r="991">
      <c r="A991" s="158"/>
      <c r="B991" s="210"/>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c r="AW991" s="158"/>
      <c r="AX991" s="158"/>
      <c r="AY991" s="158"/>
      <c r="AZ991" s="158"/>
      <c r="BA991" s="158"/>
      <c r="BB991" s="158"/>
      <c r="BC991" s="158"/>
      <c r="BD991" s="158"/>
      <c r="BE991" s="158"/>
      <c r="BF991" s="158"/>
      <c r="BG991" s="158"/>
      <c r="BH991" s="158"/>
      <c r="BI991" s="158"/>
      <c r="BJ991" s="158"/>
      <c r="BK991" s="158"/>
      <c r="BL991" s="158"/>
      <c r="BM991" s="158"/>
      <c r="BN991" s="158"/>
      <c r="BO991" s="158"/>
      <c r="BP991" s="158"/>
      <c r="BQ991" s="158"/>
      <c r="BR991" s="158"/>
    </row>
    <row r="992">
      <c r="A992" s="158"/>
      <c r="B992" s="210"/>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c r="AW992" s="158"/>
      <c r="AX992" s="158"/>
      <c r="AY992" s="158"/>
      <c r="AZ992" s="158"/>
      <c r="BA992" s="158"/>
      <c r="BB992" s="158"/>
      <c r="BC992" s="158"/>
      <c r="BD992" s="158"/>
      <c r="BE992" s="158"/>
      <c r="BF992" s="158"/>
      <c r="BG992" s="158"/>
      <c r="BH992" s="158"/>
      <c r="BI992" s="158"/>
      <c r="BJ992" s="158"/>
      <c r="BK992" s="158"/>
      <c r="BL992" s="158"/>
      <c r="BM992" s="158"/>
      <c r="BN992" s="158"/>
      <c r="BO992" s="158"/>
      <c r="BP992" s="158"/>
      <c r="BQ992" s="158"/>
      <c r="BR992" s="158"/>
    </row>
    <row r="993">
      <c r="A993" s="158"/>
      <c r="B993" s="210"/>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c r="AW993" s="158"/>
      <c r="AX993" s="158"/>
      <c r="AY993" s="158"/>
      <c r="AZ993" s="158"/>
      <c r="BA993" s="158"/>
      <c r="BB993" s="158"/>
      <c r="BC993" s="158"/>
      <c r="BD993" s="158"/>
      <c r="BE993" s="158"/>
      <c r="BF993" s="158"/>
      <c r="BG993" s="158"/>
      <c r="BH993" s="158"/>
      <c r="BI993" s="158"/>
      <c r="BJ993" s="158"/>
      <c r="BK993" s="158"/>
      <c r="BL993" s="158"/>
      <c r="BM993" s="158"/>
      <c r="BN993" s="158"/>
      <c r="BO993" s="158"/>
      <c r="BP993" s="158"/>
      <c r="BQ993" s="158"/>
      <c r="BR993" s="158"/>
    </row>
    <row r="994">
      <c r="A994" s="158"/>
      <c r="B994" s="210"/>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c r="AW994" s="158"/>
      <c r="AX994" s="158"/>
      <c r="AY994" s="158"/>
      <c r="AZ994" s="158"/>
      <c r="BA994" s="158"/>
      <c r="BB994" s="158"/>
      <c r="BC994" s="158"/>
      <c r="BD994" s="158"/>
      <c r="BE994" s="158"/>
      <c r="BF994" s="158"/>
      <c r="BG994" s="158"/>
      <c r="BH994" s="158"/>
      <c r="BI994" s="158"/>
      <c r="BJ994" s="158"/>
      <c r="BK994" s="158"/>
      <c r="BL994" s="158"/>
      <c r="BM994" s="158"/>
      <c r="BN994" s="158"/>
      <c r="BO994" s="158"/>
      <c r="BP994" s="158"/>
      <c r="BQ994" s="158"/>
      <c r="BR994" s="158"/>
    </row>
    <row r="995">
      <c r="A995" s="158"/>
      <c r="B995" s="210"/>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c r="AW995" s="158"/>
      <c r="AX995" s="158"/>
      <c r="AY995" s="158"/>
      <c r="AZ995" s="158"/>
      <c r="BA995" s="158"/>
      <c r="BB995" s="158"/>
      <c r="BC995" s="158"/>
      <c r="BD995" s="158"/>
      <c r="BE995" s="158"/>
      <c r="BF995" s="158"/>
      <c r="BG995" s="158"/>
      <c r="BH995" s="158"/>
      <c r="BI995" s="158"/>
      <c r="BJ995" s="158"/>
      <c r="BK995" s="158"/>
      <c r="BL995" s="158"/>
      <c r="BM995" s="158"/>
      <c r="BN995" s="158"/>
      <c r="BO995" s="158"/>
      <c r="BP995" s="158"/>
      <c r="BQ995" s="158"/>
      <c r="BR995" s="158"/>
    </row>
    <row r="996">
      <c r="A996" s="158"/>
      <c r="B996" s="210"/>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c r="AW996" s="158"/>
      <c r="AX996" s="158"/>
      <c r="AY996" s="158"/>
      <c r="AZ996" s="158"/>
      <c r="BA996" s="158"/>
      <c r="BB996" s="158"/>
      <c r="BC996" s="158"/>
      <c r="BD996" s="158"/>
      <c r="BE996" s="158"/>
      <c r="BF996" s="158"/>
      <c r="BG996" s="158"/>
      <c r="BH996" s="158"/>
      <c r="BI996" s="158"/>
      <c r="BJ996" s="158"/>
      <c r="BK996" s="158"/>
      <c r="BL996" s="158"/>
      <c r="BM996" s="158"/>
      <c r="BN996" s="158"/>
      <c r="BO996" s="158"/>
      <c r="BP996" s="158"/>
      <c r="BQ996" s="158"/>
      <c r="BR996" s="158"/>
    </row>
    <row r="997">
      <c r="A997" s="158"/>
      <c r="B997" s="210"/>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c r="AW997" s="158"/>
      <c r="AX997" s="158"/>
      <c r="AY997" s="158"/>
      <c r="AZ997" s="158"/>
      <c r="BA997" s="158"/>
      <c r="BB997" s="158"/>
      <c r="BC997" s="158"/>
      <c r="BD997" s="158"/>
      <c r="BE997" s="158"/>
      <c r="BF997" s="158"/>
      <c r="BG997" s="158"/>
      <c r="BH997" s="158"/>
      <c r="BI997" s="158"/>
      <c r="BJ997" s="158"/>
      <c r="BK997" s="158"/>
      <c r="BL997" s="158"/>
      <c r="BM997" s="158"/>
      <c r="BN997" s="158"/>
      <c r="BO997" s="158"/>
      <c r="BP997" s="158"/>
      <c r="BQ997" s="158"/>
      <c r="BR997" s="158"/>
    </row>
    <row r="998">
      <c r="A998" s="158"/>
      <c r="B998" s="210"/>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c r="AW998" s="158"/>
      <c r="AX998" s="158"/>
      <c r="AY998" s="158"/>
      <c r="AZ998" s="158"/>
      <c r="BA998" s="158"/>
      <c r="BB998" s="158"/>
      <c r="BC998" s="158"/>
      <c r="BD998" s="158"/>
      <c r="BE998" s="158"/>
      <c r="BF998" s="158"/>
      <c r="BG998" s="158"/>
      <c r="BH998" s="158"/>
      <c r="BI998" s="158"/>
      <c r="BJ998" s="158"/>
      <c r="BK998" s="158"/>
      <c r="BL998" s="158"/>
      <c r="BM998" s="158"/>
      <c r="BN998" s="158"/>
      <c r="BO998" s="158"/>
      <c r="BP998" s="158"/>
      <c r="BQ998" s="158"/>
      <c r="BR998" s="158"/>
    </row>
    <row r="999">
      <c r="A999" s="158"/>
      <c r="B999" s="210"/>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c r="AW999" s="158"/>
      <c r="AX999" s="158"/>
      <c r="AY999" s="158"/>
      <c r="AZ999" s="158"/>
      <c r="BA999" s="158"/>
      <c r="BB999" s="158"/>
      <c r="BC999" s="158"/>
      <c r="BD999" s="158"/>
      <c r="BE999" s="158"/>
      <c r="BF999" s="158"/>
      <c r="BG999" s="158"/>
      <c r="BH999" s="158"/>
      <c r="BI999" s="158"/>
      <c r="BJ999" s="158"/>
      <c r="BK999" s="158"/>
      <c r="BL999" s="158"/>
      <c r="BM999" s="158"/>
      <c r="BN999" s="158"/>
      <c r="BO999" s="158"/>
      <c r="BP999" s="158"/>
      <c r="BQ999" s="158"/>
      <c r="BR999" s="158"/>
    </row>
    <row r="1000">
      <c r="A1000" s="158"/>
      <c r="B1000" s="210"/>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c r="AW1000" s="158"/>
      <c r="AX1000" s="158"/>
      <c r="AY1000" s="158"/>
      <c r="AZ1000" s="158"/>
      <c r="BA1000" s="158"/>
      <c r="BB1000" s="158"/>
      <c r="BC1000" s="158"/>
      <c r="BD1000" s="158"/>
      <c r="BE1000" s="158"/>
      <c r="BF1000" s="158"/>
      <c r="BG1000" s="158"/>
      <c r="BH1000" s="158"/>
      <c r="BI1000" s="158"/>
      <c r="BJ1000" s="158"/>
      <c r="BK1000" s="158"/>
      <c r="BL1000" s="158"/>
      <c r="BM1000" s="158"/>
      <c r="BN1000" s="158"/>
      <c r="BO1000" s="158"/>
      <c r="BP1000" s="158"/>
      <c r="BQ1000" s="158"/>
      <c r="BR1000" s="158"/>
    </row>
  </sheetData>
  <printOptions/>
  <pageMargins bottom="1.0" footer="0.0" header="0.0" left="0.75" right="0.75" top="1.0"/>
  <pageSetup orientation="portrait"/>
  <colBreaks count="1" manualBreakCount="1">
    <brk id="9"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34.43"/>
    <col customWidth="1" hidden="1" min="3" max="4" width="1.29"/>
    <col customWidth="1" min="5" max="10" width="12.29"/>
    <col customWidth="1" min="11" max="70" width="12.29" outlineLevel="1"/>
  </cols>
  <sheetData>
    <row r="1">
      <c r="A1" s="158"/>
      <c r="B1" s="159" t="str">
        <f>Company_Name</f>
        <v>ABC Company</v>
      </c>
      <c r="C1" s="227"/>
      <c r="D1" s="227"/>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row>
    <row r="2">
      <c r="A2" s="158"/>
      <c r="B2" s="159" t="s">
        <v>46</v>
      </c>
      <c r="C2" s="228"/>
      <c r="D2" s="228"/>
      <c r="E2" s="229">
        <f>'Input Assumptions'!E$18</f>
        <v>1</v>
      </c>
      <c r="F2" s="229">
        <f>'Input Assumptions'!F$18</f>
        <v>2</v>
      </c>
      <c r="G2" s="229">
        <f>'Input Assumptions'!G$18</f>
        <v>3</v>
      </c>
      <c r="H2" s="229">
        <f>'Input Assumptions'!H$18</f>
        <v>4</v>
      </c>
      <c r="I2" s="229">
        <f>'Input Assumptions'!I$18</f>
        <v>5</v>
      </c>
      <c r="J2" s="158"/>
      <c r="K2" s="230">
        <f>IF(K$4&lt;Fin_Year_End,1,IF(MONTH(K$4)=MONTH(Fin_Year_End)+1,MIN(J2+1,5),J2))</f>
        <v>1</v>
      </c>
      <c r="L2" s="230">
        <f>IF(L$4&lt;Fin_Year_End,1,IF(MONTH(L$4)=MONTH(Fin_Year_End)+1,MIN(K2+1,5),K2))</f>
        <v>1</v>
      </c>
      <c r="M2" s="230">
        <f>IF(M$4&lt;Fin_Year_End,1,IF(MONTH(M$4)=MONTH(Fin_Year_End)+1,MIN(L2+1,5),L2))</f>
        <v>1</v>
      </c>
      <c r="N2" s="230">
        <f>IF(N$4&lt;Fin_Year_End,1,IF(MONTH(N$4)=MONTH(Fin_Year_End)+1,MIN(M2+1,5),M2))</f>
        <v>1</v>
      </c>
      <c r="O2" s="230">
        <f>IF(O$4&lt;Fin_Year_End,1,IF(MONTH(O$4)=MONTH(Fin_Year_End)+1,MIN(N2+1,5),N2))</f>
        <v>1</v>
      </c>
      <c r="P2" s="230">
        <f>IF(P$4&lt;Fin_Year_End,1,IF(MONTH(P$4)=MONTH(Fin_Year_End)+1,MIN(O2+1,5),O2))</f>
        <v>1</v>
      </c>
      <c r="Q2" s="230">
        <f>IF(Q$4&lt;Fin_Year_End,1,IF(MONTH(Q$4)=MONTH(Fin_Year_End)+1,MIN(P2+1,5),P2))</f>
        <v>1</v>
      </c>
      <c r="R2" s="230">
        <f>IF(R$4&lt;Fin_Year_End,1,IF(MONTH(R$4)=MONTH(Fin_Year_End)+1,MIN(Q2+1,5),Q2))</f>
        <v>1</v>
      </c>
      <c r="S2" s="230">
        <f>IF(S$4&lt;Fin_Year_End,1,IF(MONTH(S$4)=MONTH(Fin_Year_End)+1,MIN(R2+1,5),R2))</f>
        <v>1</v>
      </c>
      <c r="T2" s="230">
        <f>IF(T$4&lt;Fin_Year_End,1,IF(MONTH(T$4)=MONTH(Fin_Year_End)+1,MIN(S2+1,5),S2))</f>
        <v>1</v>
      </c>
      <c r="U2" s="230">
        <f>IF(U$4&lt;Fin_Year_End,1,IF(MONTH(U$4)=MONTH(Fin_Year_End)+1,MIN(T2+1,5),T2))</f>
        <v>1</v>
      </c>
      <c r="V2" s="230">
        <f>IF(V$4&lt;Fin_Year_End,1,IF(MONTH(V$4)=MONTH(Fin_Year_End)+1,MIN(U2+1,5),U2))</f>
        <v>1</v>
      </c>
      <c r="W2" s="230">
        <f>IF(W$4&lt;Fin_Year_End,1,IF(MONTH(W$4)=MONTH(Fin_Year_End)+1,MIN(V2+1,5),V2))</f>
        <v>2</v>
      </c>
      <c r="X2" s="230">
        <f>IF(X$4&lt;Fin_Year_End,1,IF(MONTH(X$4)=MONTH(Fin_Year_End)+1,MIN(W2+1,5),W2))</f>
        <v>2</v>
      </c>
      <c r="Y2" s="230">
        <f>IF(Y$4&lt;Fin_Year_End,1,IF(MONTH(Y$4)=MONTH(Fin_Year_End)+1,MIN(X2+1,5),X2))</f>
        <v>2</v>
      </c>
      <c r="Z2" s="230">
        <f>IF(Z$4&lt;Fin_Year_End,1,IF(MONTH(Z$4)=MONTH(Fin_Year_End)+1,MIN(Y2+1,5),Y2))</f>
        <v>2</v>
      </c>
      <c r="AA2" s="230">
        <f>IF(AA$4&lt;Fin_Year_End,1,IF(MONTH(AA$4)=MONTH(Fin_Year_End)+1,MIN(Z2+1,5),Z2))</f>
        <v>2</v>
      </c>
      <c r="AB2" s="230">
        <f>IF(AB$4&lt;Fin_Year_End,1,IF(MONTH(AB$4)=MONTH(Fin_Year_End)+1,MIN(AA2+1,5),AA2))</f>
        <v>2</v>
      </c>
      <c r="AC2" s="230">
        <f>IF(AC$4&lt;Fin_Year_End,1,IF(MONTH(AC$4)=MONTH(Fin_Year_End)+1,MIN(AB2+1,5),AB2))</f>
        <v>2</v>
      </c>
      <c r="AD2" s="230">
        <f>IF(AD$4&lt;Fin_Year_End,1,IF(MONTH(AD$4)=MONTH(Fin_Year_End)+1,MIN(AC2+1,5),AC2))</f>
        <v>2</v>
      </c>
      <c r="AE2" s="230">
        <f>IF(AE$4&lt;Fin_Year_End,1,IF(MONTH(AE$4)=MONTH(Fin_Year_End)+1,MIN(AD2+1,5),AD2))</f>
        <v>2</v>
      </c>
      <c r="AF2" s="230">
        <f>IF(AF$4&lt;Fin_Year_End,1,IF(MONTH(AF$4)=MONTH(Fin_Year_End)+1,MIN(AE2+1,5),AE2))</f>
        <v>2</v>
      </c>
      <c r="AG2" s="230">
        <f>IF(AG$4&lt;Fin_Year_End,1,IF(MONTH(AG$4)=MONTH(Fin_Year_End)+1,MIN(AF2+1,5),AF2))</f>
        <v>2</v>
      </c>
      <c r="AH2" s="230">
        <f>IF(AH$4&lt;Fin_Year_End,1,IF(MONTH(AH$4)=MONTH(Fin_Year_End)+1,MIN(AG2+1,5),AG2))</f>
        <v>2</v>
      </c>
      <c r="AI2" s="230">
        <f>IF(AI$4&lt;Fin_Year_End,1,IF(MONTH(AI$4)=MONTH(Fin_Year_End)+1,MIN(AH2+1,5),AH2))</f>
        <v>3</v>
      </c>
      <c r="AJ2" s="230">
        <f>IF(AJ$4&lt;Fin_Year_End,1,IF(MONTH(AJ$4)=MONTH(Fin_Year_End)+1,MIN(AI2+1,5),AI2))</f>
        <v>3</v>
      </c>
      <c r="AK2" s="230">
        <f>IF(AK$4&lt;Fin_Year_End,1,IF(MONTH(AK$4)=MONTH(Fin_Year_End)+1,MIN(AJ2+1,5),AJ2))</f>
        <v>3</v>
      </c>
      <c r="AL2" s="230">
        <f>IF(AL$4&lt;Fin_Year_End,1,IF(MONTH(AL$4)=MONTH(Fin_Year_End)+1,MIN(AK2+1,5),AK2))</f>
        <v>3</v>
      </c>
      <c r="AM2" s="230">
        <f>IF(AM$4&lt;Fin_Year_End,1,IF(MONTH(AM$4)=MONTH(Fin_Year_End)+1,MIN(AL2+1,5),AL2))</f>
        <v>3</v>
      </c>
      <c r="AN2" s="230">
        <f>IF(AN$4&lt;Fin_Year_End,1,IF(MONTH(AN$4)=MONTH(Fin_Year_End)+1,MIN(AM2+1,5),AM2))</f>
        <v>3</v>
      </c>
      <c r="AO2" s="230">
        <f>IF(AO$4&lt;Fin_Year_End,1,IF(MONTH(AO$4)=MONTH(Fin_Year_End)+1,MIN(AN2+1,5),AN2))</f>
        <v>3</v>
      </c>
      <c r="AP2" s="230">
        <f>IF(AP$4&lt;Fin_Year_End,1,IF(MONTH(AP$4)=MONTH(Fin_Year_End)+1,MIN(AO2+1,5),AO2))</f>
        <v>3</v>
      </c>
      <c r="AQ2" s="230">
        <f>IF(AQ$4&lt;Fin_Year_End,1,IF(MONTH(AQ$4)=MONTH(Fin_Year_End)+1,MIN(AP2+1,5),AP2))</f>
        <v>3</v>
      </c>
      <c r="AR2" s="230">
        <f>IF(AR$4&lt;Fin_Year_End,1,IF(MONTH(AR$4)=MONTH(Fin_Year_End)+1,MIN(AQ2+1,5),AQ2))</f>
        <v>3</v>
      </c>
      <c r="AS2" s="230">
        <f>IF(AS$4&lt;Fin_Year_End,1,IF(MONTH(AS$4)=MONTH(Fin_Year_End)+1,MIN(AR2+1,5),AR2))</f>
        <v>3</v>
      </c>
      <c r="AT2" s="230">
        <f>IF(AT$4&lt;Fin_Year_End,1,IF(MONTH(AT$4)=MONTH(Fin_Year_End)+1,MIN(AS2+1,5),AS2))</f>
        <v>3</v>
      </c>
      <c r="AU2" s="230">
        <f>IF(AU$4&lt;Fin_Year_End,1,IF(MONTH(AU$4)=MONTH(Fin_Year_End)+1,MIN(AT2+1,5),AT2))</f>
        <v>4</v>
      </c>
      <c r="AV2" s="230">
        <f>IF(AV$4&lt;Fin_Year_End,1,IF(MONTH(AV$4)=MONTH(Fin_Year_End)+1,MIN(AU2+1,5),AU2))</f>
        <v>4</v>
      </c>
      <c r="AW2" s="230">
        <f>IF(AW$4&lt;Fin_Year_End,1,IF(MONTH(AW$4)=MONTH(Fin_Year_End)+1,MIN(AV2+1,5),AV2))</f>
        <v>4</v>
      </c>
      <c r="AX2" s="230">
        <f>IF(AX$4&lt;Fin_Year_End,1,IF(MONTH(AX$4)=MONTH(Fin_Year_End)+1,MIN(AW2+1,5),AW2))</f>
        <v>4</v>
      </c>
      <c r="AY2" s="230">
        <f>IF(AY$4&lt;Fin_Year_End,1,IF(MONTH(AY$4)=MONTH(Fin_Year_End)+1,MIN(AX2+1,5),AX2))</f>
        <v>4</v>
      </c>
      <c r="AZ2" s="230">
        <f>IF(AZ$4&lt;Fin_Year_End,1,IF(MONTH(AZ$4)=MONTH(Fin_Year_End)+1,MIN(AY2+1,5),AY2))</f>
        <v>4</v>
      </c>
      <c r="BA2" s="230">
        <f>IF(BA$4&lt;Fin_Year_End,1,IF(MONTH(BA$4)=MONTH(Fin_Year_End)+1,MIN(AZ2+1,5),AZ2))</f>
        <v>4</v>
      </c>
      <c r="BB2" s="230">
        <f>IF(BB$4&lt;Fin_Year_End,1,IF(MONTH(BB$4)=MONTH(Fin_Year_End)+1,MIN(BA2+1,5),BA2))</f>
        <v>4</v>
      </c>
      <c r="BC2" s="230">
        <f>IF(BC$4&lt;Fin_Year_End,1,IF(MONTH(BC$4)=MONTH(Fin_Year_End)+1,MIN(BB2+1,5),BB2))</f>
        <v>4</v>
      </c>
      <c r="BD2" s="230">
        <f>IF(BD$4&lt;Fin_Year_End,1,IF(MONTH(BD$4)=MONTH(Fin_Year_End)+1,MIN(BC2+1,5),BC2))</f>
        <v>4</v>
      </c>
      <c r="BE2" s="230">
        <f>IF(BE$4&lt;Fin_Year_End,1,IF(MONTH(BE$4)=MONTH(Fin_Year_End)+1,MIN(BD2+1,5),BD2))</f>
        <v>4</v>
      </c>
      <c r="BF2" s="230">
        <f>IF(BF$4&lt;Fin_Year_End,1,IF(MONTH(BF$4)=MONTH(Fin_Year_End)+1,MIN(BE2+1,5),BE2))</f>
        <v>4</v>
      </c>
      <c r="BG2" s="230">
        <f>IF(BG$4&lt;Fin_Year_End,1,IF(MONTH(BG$4)=MONTH(Fin_Year_End)+1,MIN(BF2+1,5),BF2))</f>
        <v>5</v>
      </c>
      <c r="BH2" s="230">
        <f>IF(BH$4&lt;Fin_Year_End,1,IF(MONTH(BH$4)=MONTH(Fin_Year_End)+1,MIN(BG2+1,5),BG2))</f>
        <v>5</v>
      </c>
      <c r="BI2" s="230">
        <f>IF(BI$4&lt;Fin_Year_End,1,IF(MONTH(BI$4)=MONTH(Fin_Year_End)+1,MIN(BH2+1,5),BH2))</f>
        <v>5</v>
      </c>
      <c r="BJ2" s="230">
        <f>IF(BJ$4&lt;Fin_Year_End,1,IF(MONTH(BJ$4)=MONTH(Fin_Year_End)+1,MIN(BI2+1,5),BI2))</f>
        <v>5</v>
      </c>
      <c r="BK2" s="230">
        <f>IF(BK$4&lt;Fin_Year_End,1,IF(MONTH(BK$4)=MONTH(Fin_Year_End)+1,MIN(BJ2+1,5),BJ2))</f>
        <v>5</v>
      </c>
      <c r="BL2" s="230">
        <f>IF(BL$4&lt;Fin_Year_End,1,IF(MONTH(BL$4)=MONTH(Fin_Year_End)+1,MIN(BK2+1,5),BK2))</f>
        <v>5</v>
      </c>
      <c r="BM2" s="230">
        <f>IF(BM$4&lt;Fin_Year_End,1,IF(MONTH(BM$4)=MONTH(Fin_Year_End)+1,MIN(BL2+1,5),BL2))</f>
        <v>5</v>
      </c>
      <c r="BN2" s="230">
        <f>IF(BN$4&lt;Fin_Year_End,1,IF(MONTH(BN$4)=MONTH(Fin_Year_End)+1,MIN(BM2+1,5),BM2))</f>
        <v>5</v>
      </c>
      <c r="BO2" s="230">
        <f>IF(BO$4&lt;Fin_Year_End,1,IF(MONTH(BO$4)=MONTH(Fin_Year_End)+1,MIN(BN2+1,5),BN2))</f>
        <v>5</v>
      </c>
      <c r="BP2" s="230">
        <f>IF(BP$4&lt;Fin_Year_End,1,IF(MONTH(BP$4)=MONTH(Fin_Year_End)+1,MIN(BO2+1,5),BO2))</f>
        <v>5</v>
      </c>
      <c r="BQ2" s="230">
        <f>IF(BQ$4&lt;Fin_Year_End,1,IF(MONTH(BQ$4)=MONTH(Fin_Year_End)+1,MIN(BP2+1,5),BP2))</f>
        <v>5</v>
      </c>
      <c r="BR2" s="230">
        <f>IF(BR$4&lt;Fin_Year_End,1,IF(MONTH(BR$4)=MONTH(Fin_Year_End)+1,MIN(BQ2+1,5),BQ2))</f>
        <v>5</v>
      </c>
    </row>
    <row r="3">
      <c r="A3" s="158"/>
      <c r="B3" s="231"/>
      <c r="C3" s="172"/>
      <c r="D3" s="172"/>
      <c r="E3" s="232" t="str">
        <f>'Input Assumptions'!E$17</f>
        <v>2024-2025</v>
      </c>
      <c r="F3" s="232" t="str">
        <f>'Input Assumptions'!F$17</f>
        <v>2025-2026</v>
      </c>
      <c r="G3" s="232" t="str">
        <f>'Input Assumptions'!G$17</f>
        <v>2026-2027</v>
      </c>
      <c r="H3" s="232" t="str">
        <f>'Input Assumptions'!H$17</f>
        <v>2027-2028</v>
      </c>
      <c r="I3" s="232" t="str">
        <f>'Input Assumptions'!I$17</f>
        <v>2028-2029</v>
      </c>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row>
    <row r="4">
      <c r="A4" s="158"/>
      <c r="B4" s="231"/>
      <c r="C4" s="175"/>
      <c r="D4" s="175"/>
      <c r="E4" s="41" t="str">
        <f>Model!E$12</f>
        <v>Year 1</v>
      </c>
      <c r="F4" s="41" t="str">
        <f>Model!F$12</f>
        <v>Year 2</v>
      </c>
      <c r="G4" s="41" t="str">
        <f>Model!G$12</f>
        <v>Year 3</v>
      </c>
      <c r="H4" s="41" t="str">
        <f>Model!H$12</f>
        <v>Year 4</v>
      </c>
      <c r="I4" s="41" t="str">
        <f>Model!I$12</f>
        <v>Year 5</v>
      </c>
      <c r="J4" s="15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c r="A5" s="170"/>
      <c r="B5" s="233" t="s">
        <v>226</v>
      </c>
      <c r="C5" s="175"/>
      <c r="D5" s="175"/>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row>
    <row r="6">
      <c r="A6" s="170"/>
      <c r="B6" s="233"/>
      <c r="C6" s="179"/>
      <c r="D6" s="179"/>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row>
    <row r="7">
      <c r="A7" s="170"/>
      <c r="B7" s="215" t="s">
        <v>227</v>
      </c>
      <c r="C7" s="179"/>
      <c r="D7" s="179"/>
      <c r="E7" s="170">
        <f t="shared" ref="E7:I7" si="2">SUMIFS($K7:$BR7,$K$2:$BR$2,E$2)</f>
        <v>-100859.9225</v>
      </c>
      <c r="F7" s="170">
        <f t="shared" si="2"/>
        <v>-17618.40899</v>
      </c>
      <c r="G7" s="170">
        <f t="shared" si="2"/>
        <v>9551.648035</v>
      </c>
      <c r="H7" s="170">
        <f t="shared" si="2"/>
        <v>21162.7282</v>
      </c>
      <c r="I7" s="170">
        <f t="shared" si="2"/>
        <v>76954.46806</v>
      </c>
      <c r="J7" s="170"/>
      <c r="K7" s="170">
        <f>Model!K123</f>
        <v>-12320.5499</v>
      </c>
      <c r="L7" s="170">
        <f>Model!L123</f>
        <v>-11110.50737</v>
      </c>
      <c r="M7" s="170">
        <f>Model!M123</f>
        <v>-10498.21267</v>
      </c>
      <c r="N7" s="170">
        <f>Model!N123</f>
        <v>-9885.917975</v>
      </c>
      <c r="O7" s="170">
        <f>Model!O123</f>
        <v>-9273.623275</v>
      </c>
      <c r="P7" s="170">
        <f>Model!P123</f>
        <v>-8661.328576</v>
      </c>
      <c r="Q7" s="170">
        <f>Model!Q123</f>
        <v>-8049.033877</v>
      </c>
      <c r="R7" s="170">
        <f>Model!R123</f>
        <v>-7436.739178</v>
      </c>
      <c r="S7" s="170">
        <f>Model!S123</f>
        <v>-6824.444479</v>
      </c>
      <c r="T7" s="170">
        <f>Model!T123</f>
        <v>-6212.14978</v>
      </c>
      <c r="U7" s="170">
        <f>Model!U123</f>
        <v>-5599.855081</v>
      </c>
      <c r="V7" s="170">
        <f>Model!V123</f>
        <v>-4987.560382</v>
      </c>
      <c r="W7" s="170">
        <f>Model!W123</f>
        <v>-4159.005912</v>
      </c>
      <c r="X7" s="170">
        <f>Model!X123</f>
        <v>-3529.632703</v>
      </c>
      <c r="Y7" s="170">
        <f>Model!Y123</f>
        <v>-2900.259495</v>
      </c>
      <c r="Z7" s="170">
        <f>Model!Z123</f>
        <v>-2270.886287</v>
      </c>
      <c r="AA7" s="170">
        <f>Model!AA123</f>
        <v>-1641.513078</v>
      </c>
      <c r="AB7" s="170">
        <f>Model!AB123</f>
        <v>-1012.13987</v>
      </c>
      <c r="AC7" s="170">
        <f>Model!AC123</f>
        <v>-826.319945</v>
      </c>
      <c r="AD7" s="170">
        <f>Model!AD123</f>
        <v>-638.644562</v>
      </c>
      <c r="AE7" s="170">
        <f>Model!AE123</f>
        <v>-449.0936201</v>
      </c>
      <c r="AF7" s="170">
        <f>Model!AF123</f>
        <v>-257.6468008</v>
      </c>
      <c r="AG7" s="170">
        <f>Model!AG123</f>
        <v>-64.28356552</v>
      </c>
      <c r="AH7" s="170">
        <f>Model!AH123</f>
        <v>131.0168471</v>
      </c>
      <c r="AI7" s="170">
        <f>Model!AI123</f>
        <v>-130.0814913</v>
      </c>
      <c r="AJ7" s="170">
        <f>Model!AJ123</f>
        <v>34.05733537</v>
      </c>
      <c r="AK7" s="170">
        <f>Model!AK123</f>
        <v>199.4427617</v>
      </c>
      <c r="AL7" s="170">
        <f>Model!AL123</f>
        <v>366.0851759</v>
      </c>
      <c r="AM7" s="170">
        <f>Model!AM123</f>
        <v>533.9950529</v>
      </c>
      <c r="AN7" s="170">
        <f>Model!AN123</f>
        <v>703.182955</v>
      </c>
      <c r="AO7" s="170">
        <f>Model!AO123</f>
        <v>873.6595323</v>
      </c>
      <c r="AP7" s="170">
        <f>Model!AP123</f>
        <v>1045.435524</v>
      </c>
      <c r="AQ7" s="170">
        <f>Model!AQ123</f>
        <v>1218.521758</v>
      </c>
      <c r="AR7" s="170">
        <f>Model!AR123</f>
        <v>1392.929153</v>
      </c>
      <c r="AS7" s="170">
        <f>Model!AS123</f>
        <v>1568.66872</v>
      </c>
      <c r="AT7" s="170">
        <f>Model!AT123</f>
        <v>1745.751559</v>
      </c>
      <c r="AU7" s="170">
        <f>Model!AU123</f>
        <v>941.2512748</v>
      </c>
      <c r="AV7" s="170">
        <f>Model!AV123</f>
        <v>1087.784576</v>
      </c>
      <c r="AW7" s="170">
        <f>Model!AW123</f>
        <v>1235.197787</v>
      </c>
      <c r="AX7" s="170">
        <f>Model!AX123</f>
        <v>1383.496774</v>
      </c>
      <c r="AY7" s="170">
        <f>Model!AY123</f>
        <v>1532.687441</v>
      </c>
      <c r="AZ7" s="170">
        <f>Model!AZ123</f>
        <v>1682.775734</v>
      </c>
      <c r="BA7" s="170">
        <f>Model!BA123</f>
        <v>1833.767636</v>
      </c>
      <c r="BB7" s="170">
        <f>Model!BB123</f>
        <v>1985.669171</v>
      </c>
      <c r="BC7" s="170">
        <f>Model!BC123</f>
        <v>2138.486405</v>
      </c>
      <c r="BD7" s="170">
        <f>Model!BD123</f>
        <v>2292.22544</v>
      </c>
      <c r="BE7" s="170">
        <f>Model!BE123</f>
        <v>2446.892424</v>
      </c>
      <c r="BF7" s="170">
        <f>Model!BF123</f>
        <v>2602.493541</v>
      </c>
      <c r="BG7" s="170">
        <f>Model!BG123</f>
        <v>5528.952263</v>
      </c>
      <c r="BH7" s="170">
        <f>Model!BH123</f>
        <v>5686.440373</v>
      </c>
      <c r="BI7" s="170">
        <f>Model!BI123</f>
        <v>5844.881424</v>
      </c>
      <c r="BJ7" s="170">
        <f>Model!BJ123</f>
        <v>6004.28177</v>
      </c>
      <c r="BK7" s="170">
        <f>Model!BK123</f>
        <v>6164.647806</v>
      </c>
      <c r="BL7" s="170">
        <f>Model!BL123</f>
        <v>6325.985969</v>
      </c>
      <c r="BM7" s="170">
        <f>Model!BM123</f>
        <v>6488.302741</v>
      </c>
      <c r="BN7" s="170">
        <f>Model!BN123</f>
        <v>6651.604646</v>
      </c>
      <c r="BO7" s="170">
        <f>Model!BO123</f>
        <v>6815.89825</v>
      </c>
      <c r="BP7" s="170">
        <f>Model!BP123</f>
        <v>6981.190167</v>
      </c>
      <c r="BQ7" s="170">
        <f>Model!BQ123</f>
        <v>7147.48705</v>
      </c>
      <c r="BR7" s="170">
        <f>Model!BR123</f>
        <v>7314.7956</v>
      </c>
    </row>
    <row r="8">
      <c r="A8" s="170"/>
      <c r="B8" s="215"/>
      <c r="C8" s="179"/>
      <c r="D8" s="179"/>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c r="A9" s="170"/>
      <c r="B9" s="234" t="s">
        <v>228</v>
      </c>
      <c r="C9" s="175"/>
      <c r="D9" s="175"/>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c r="A10" s="170"/>
      <c r="B10" s="215" t="s">
        <v>229</v>
      </c>
      <c r="C10" s="170"/>
      <c r="D10" s="170"/>
      <c r="E10" s="170">
        <f t="shared" ref="E10:I10" si="3">SUMIFS($K10:$BR10,$K$2:$BR$2,E$2)</f>
        <v>44456.25</v>
      </c>
      <c r="F10" s="170">
        <f t="shared" si="3"/>
        <v>44456.25</v>
      </c>
      <c r="G10" s="170">
        <f t="shared" si="3"/>
        <v>44456.25</v>
      </c>
      <c r="H10" s="170">
        <f t="shared" si="3"/>
        <v>44456.25</v>
      </c>
      <c r="I10" s="170">
        <f t="shared" si="3"/>
        <v>0</v>
      </c>
      <c r="J10" s="170"/>
      <c r="K10" s="170">
        <f>Model!K125</f>
        <v>3704.6875</v>
      </c>
      <c r="L10" s="170">
        <f>Model!L125</f>
        <v>3704.6875</v>
      </c>
      <c r="M10" s="170">
        <f>Model!M125</f>
        <v>3704.6875</v>
      </c>
      <c r="N10" s="170">
        <f>Model!N125</f>
        <v>3704.6875</v>
      </c>
      <c r="O10" s="170">
        <f>Model!O125</f>
        <v>3704.6875</v>
      </c>
      <c r="P10" s="170">
        <f>Model!P125</f>
        <v>3704.6875</v>
      </c>
      <c r="Q10" s="170">
        <f>Model!Q125</f>
        <v>3704.6875</v>
      </c>
      <c r="R10" s="170">
        <f>Model!R125</f>
        <v>3704.6875</v>
      </c>
      <c r="S10" s="170">
        <f>Model!S125</f>
        <v>3704.6875</v>
      </c>
      <c r="T10" s="170">
        <f>Model!T125</f>
        <v>3704.6875</v>
      </c>
      <c r="U10" s="170">
        <f>Model!U125</f>
        <v>3704.6875</v>
      </c>
      <c r="V10" s="170">
        <f>Model!V125</f>
        <v>3704.6875</v>
      </c>
      <c r="W10" s="170">
        <f>Model!W125</f>
        <v>3704.6875</v>
      </c>
      <c r="X10" s="170">
        <f>Model!X125</f>
        <v>3704.6875</v>
      </c>
      <c r="Y10" s="170">
        <f>Model!Y125</f>
        <v>3704.6875</v>
      </c>
      <c r="Z10" s="170">
        <f>Model!Z125</f>
        <v>3704.6875</v>
      </c>
      <c r="AA10" s="170">
        <f>Model!AA125</f>
        <v>3704.6875</v>
      </c>
      <c r="AB10" s="170">
        <f>Model!AB125</f>
        <v>3704.6875</v>
      </c>
      <c r="AC10" s="170">
        <f>Model!AC125</f>
        <v>3704.6875</v>
      </c>
      <c r="AD10" s="170">
        <f>Model!AD125</f>
        <v>3704.6875</v>
      </c>
      <c r="AE10" s="170">
        <f>Model!AE125</f>
        <v>3704.6875</v>
      </c>
      <c r="AF10" s="170">
        <f>Model!AF125</f>
        <v>3704.6875</v>
      </c>
      <c r="AG10" s="170">
        <f>Model!AG125</f>
        <v>3704.6875</v>
      </c>
      <c r="AH10" s="170">
        <f>Model!AH125</f>
        <v>3704.6875</v>
      </c>
      <c r="AI10" s="170">
        <f>Model!AI125</f>
        <v>3704.6875</v>
      </c>
      <c r="AJ10" s="170">
        <f>Model!AJ125</f>
        <v>3704.6875</v>
      </c>
      <c r="AK10" s="170">
        <f>Model!AK125</f>
        <v>3704.6875</v>
      </c>
      <c r="AL10" s="170">
        <f>Model!AL125</f>
        <v>3704.6875</v>
      </c>
      <c r="AM10" s="170">
        <f>Model!AM125</f>
        <v>3704.6875</v>
      </c>
      <c r="AN10" s="170">
        <f>Model!AN125</f>
        <v>3704.6875</v>
      </c>
      <c r="AO10" s="170">
        <f>Model!AO125</f>
        <v>3704.6875</v>
      </c>
      <c r="AP10" s="170">
        <f>Model!AP125</f>
        <v>3704.6875</v>
      </c>
      <c r="AQ10" s="170">
        <f>Model!AQ125</f>
        <v>3704.6875</v>
      </c>
      <c r="AR10" s="170">
        <f>Model!AR125</f>
        <v>3704.6875</v>
      </c>
      <c r="AS10" s="170">
        <f>Model!AS125</f>
        <v>3704.6875</v>
      </c>
      <c r="AT10" s="170">
        <f>Model!AT125</f>
        <v>3704.6875</v>
      </c>
      <c r="AU10" s="170">
        <f>Model!AU125</f>
        <v>3704.6875</v>
      </c>
      <c r="AV10" s="170">
        <f>Model!AV125</f>
        <v>3704.6875</v>
      </c>
      <c r="AW10" s="170">
        <f>Model!AW125</f>
        <v>3704.6875</v>
      </c>
      <c r="AX10" s="170">
        <f>Model!AX125</f>
        <v>3704.6875</v>
      </c>
      <c r="AY10" s="170">
        <f>Model!AY125</f>
        <v>3704.6875</v>
      </c>
      <c r="AZ10" s="170">
        <f>Model!AZ125</f>
        <v>3704.6875</v>
      </c>
      <c r="BA10" s="170">
        <f>Model!BA125</f>
        <v>3704.6875</v>
      </c>
      <c r="BB10" s="170">
        <f>Model!BB125</f>
        <v>3704.6875</v>
      </c>
      <c r="BC10" s="170">
        <f>Model!BC125</f>
        <v>3704.6875</v>
      </c>
      <c r="BD10" s="170">
        <f>Model!BD125</f>
        <v>3704.6875</v>
      </c>
      <c r="BE10" s="170">
        <f>Model!BE125</f>
        <v>3704.6875</v>
      </c>
      <c r="BF10" s="170">
        <f>Model!BF125</f>
        <v>3704.6875</v>
      </c>
      <c r="BG10" s="170">
        <f>Model!BG125</f>
        <v>0</v>
      </c>
      <c r="BH10" s="170">
        <f>Model!BH125</f>
        <v>0</v>
      </c>
      <c r="BI10" s="170">
        <f>Model!BI125</f>
        <v>0</v>
      </c>
      <c r="BJ10" s="170">
        <f>Model!BJ125</f>
        <v>0</v>
      </c>
      <c r="BK10" s="170">
        <f>Model!BK125</f>
        <v>0</v>
      </c>
      <c r="BL10" s="170">
        <f>Model!BL125</f>
        <v>0</v>
      </c>
      <c r="BM10" s="170">
        <f>Model!BM125</f>
        <v>0</v>
      </c>
      <c r="BN10" s="170">
        <f>Model!BN125</f>
        <v>0</v>
      </c>
      <c r="BO10" s="170">
        <f>Model!BO125</f>
        <v>0</v>
      </c>
      <c r="BP10" s="170">
        <f>Model!BP125</f>
        <v>0</v>
      </c>
      <c r="BQ10" s="170">
        <f>Model!BQ125</f>
        <v>0</v>
      </c>
      <c r="BR10" s="170">
        <f>Model!BR125</f>
        <v>0</v>
      </c>
    </row>
    <row r="11">
      <c r="A11" s="170"/>
      <c r="B11" s="234" t="s">
        <v>230</v>
      </c>
      <c r="C11" s="235"/>
      <c r="D11" s="235"/>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row>
    <row r="12">
      <c r="A12" s="170"/>
      <c r="B12" s="215" t="s">
        <v>231</v>
      </c>
      <c r="C12" s="236"/>
      <c r="D12" s="236"/>
      <c r="E12" s="170">
        <f t="shared" ref="E12:I12" si="4">SUMIFS($K12:$BR12,$K$2:$BR$2,E$2)</f>
        <v>-32582.96237</v>
      </c>
      <c r="F12" s="170">
        <f t="shared" si="4"/>
        <v>-12754.92867</v>
      </c>
      <c r="G12" s="170">
        <f t="shared" si="4"/>
        <v>-4747.469642</v>
      </c>
      <c r="H12" s="170">
        <f t="shared" si="4"/>
        <v>-4157.060235</v>
      </c>
      <c r="I12" s="170">
        <f t="shared" si="4"/>
        <v>-4502.094184</v>
      </c>
      <c r="J12" s="170"/>
      <c r="K12" s="170">
        <f>Model!K127</f>
        <v>-12749.85484</v>
      </c>
      <c r="L12" s="170">
        <f>Model!L127</f>
        <v>-3840.697013</v>
      </c>
      <c r="M12" s="170">
        <f>Model!M127</f>
        <v>-1117.579869</v>
      </c>
      <c r="N12" s="170">
        <f>Model!N127</f>
        <v>-2298.121983</v>
      </c>
      <c r="O12" s="170">
        <f>Model!O127</f>
        <v>-1007.395938</v>
      </c>
      <c r="P12" s="170">
        <f>Model!P127</f>
        <v>-1652.758961</v>
      </c>
      <c r="Q12" s="170">
        <f>Model!Q127</f>
        <v>-4258.384057</v>
      </c>
      <c r="R12" s="170">
        <f>Model!R127</f>
        <v>952.8661354</v>
      </c>
      <c r="S12" s="170">
        <f>Model!S127</f>
        <v>-2573.58181</v>
      </c>
      <c r="T12" s="170">
        <f>Model!T127</f>
        <v>-731.9361111</v>
      </c>
      <c r="U12" s="170">
        <f>Model!U127</f>
        <v>-2683.765741</v>
      </c>
      <c r="V12" s="170">
        <f>Model!V127</f>
        <v>-621.7521804</v>
      </c>
      <c r="W12" s="170">
        <f>Model!W127</f>
        <v>-1652.758961</v>
      </c>
      <c r="X12" s="170">
        <f>Model!X127</f>
        <v>-2849.041637</v>
      </c>
      <c r="Y12" s="170">
        <f>Model!Y127</f>
        <v>-456.4762843</v>
      </c>
      <c r="Z12" s="170">
        <f>Model!Z127</f>
        <v>-2959.225568</v>
      </c>
      <c r="AA12" s="170">
        <f>Model!AA127</f>
        <v>-346.2923536</v>
      </c>
      <c r="AB12" s="170">
        <f>Model!AB127</f>
        <v>-1652.758961</v>
      </c>
      <c r="AC12" s="170">
        <f>Model!AC127</f>
        <v>-5063.260805</v>
      </c>
      <c r="AD12" s="170">
        <f>Model!AD127</f>
        <v>4137.450166</v>
      </c>
      <c r="AE12" s="170">
        <f>Model!AE127</f>
        <v>-1933.6333</v>
      </c>
      <c r="AF12" s="170">
        <f>Model!AF127</f>
        <v>987.6547757</v>
      </c>
      <c r="AG12" s="170">
        <f>Model!AG127</f>
        <v>-1975.755622</v>
      </c>
      <c r="AH12" s="170">
        <f>Model!AH127</f>
        <v>1009.169875</v>
      </c>
      <c r="AI12" s="170">
        <f>Model!AI127</f>
        <v>-377.8157587</v>
      </c>
      <c r="AJ12" s="170">
        <f>Model!AJ127</f>
        <v>-1917.519924</v>
      </c>
      <c r="AK12" s="170">
        <f>Model!AK127</f>
        <v>1152.416776</v>
      </c>
      <c r="AL12" s="170">
        <f>Model!AL127</f>
        <v>-1949.611751</v>
      </c>
      <c r="AM12" s="170">
        <f>Model!AM127</f>
        <v>1171.703751</v>
      </c>
      <c r="AN12" s="170">
        <f>Model!AN127</f>
        <v>-393.8226496</v>
      </c>
      <c r="AO12" s="170">
        <f>Model!AO127</f>
        <v>-5545.280766</v>
      </c>
      <c r="AP12" s="170">
        <f>Model!AP127</f>
        <v>4747.762552</v>
      </c>
      <c r="AQ12" s="170">
        <f>Model!AQ127</f>
        <v>-2032.2108</v>
      </c>
      <c r="AR12" s="170">
        <f>Model!AR127</f>
        <v>1221.345233</v>
      </c>
      <c r="AS12" s="170">
        <f>Model!AS127</f>
        <v>-2066.222106</v>
      </c>
      <c r="AT12" s="170">
        <f>Model!AT127</f>
        <v>1241.785802</v>
      </c>
      <c r="AU12" s="170">
        <f>Model!AU127</f>
        <v>-333.9024046</v>
      </c>
      <c r="AV12" s="170">
        <f>Model!AV127</f>
        <v>-2027.974804</v>
      </c>
      <c r="AW12" s="170">
        <f>Model!AW127</f>
        <v>1353.477107</v>
      </c>
      <c r="AX12" s="170">
        <f>Model!AX127</f>
        <v>-2055.1046</v>
      </c>
      <c r="AY12" s="170">
        <f>Model!AY127</f>
        <v>1371.583623</v>
      </c>
      <c r="AZ12" s="170">
        <f>Model!AZ127</f>
        <v>-345.1818784</v>
      </c>
      <c r="BA12" s="170">
        <f>Model!BA127</f>
        <v>-3966.100107</v>
      </c>
      <c r="BB12" s="170">
        <f>Model!BB127</f>
        <v>3268.817371</v>
      </c>
      <c r="BC12" s="170">
        <f>Model!BC127</f>
        <v>-2124.527576</v>
      </c>
      <c r="BD12" s="170">
        <f>Model!BD127</f>
        <v>1417.916747</v>
      </c>
      <c r="BE12" s="170">
        <f>Model!BE127</f>
        <v>-2152.949034</v>
      </c>
      <c r="BF12" s="170">
        <f>Model!BF127</f>
        <v>1436.885322</v>
      </c>
      <c r="BG12" s="170">
        <f>Model!BG127</f>
        <v>-361.6161395</v>
      </c>
      <c r="BH12" s="170">
        <f>Model!BH127</f>
        <v>-2196.295713</v>
      </c>
      <c r="BI12" s="170">
        <f>Model!BI127</f>
        <v>1465.815039</v>
      </c>
      <c r="BJ12" s="170">
        <f>Model!BJ127</f>
        <v>-2225.677269</v>
      </c>
      <c r="BK12" s="170">
        <f>Model!BK127</f>
        <v>1485.424387</v>
      </c>
      <c r="BL12" s="170">
        <f>Model!BL127</f>
        <v>-373.8318041</v>
      </c>
      <c r="BM12" s="170">
        <f>Model!BM127</f>
        <v>-6464.708991</v>
      </c>
      <c r="BN12" s="170">
        <f>Model!BN127</f>
        <v>5709.552132</v>
      </c>
      <c r="BO12" s="170">
        <f>Model!BO127</f>
        <v>-2300.862318</v>
      </c>
      <c r="BP12" s="170">
        <f>Model!BP127</f>
        <v>1535.603138</v>
      </c>
      <c r="BQ12" s="170">
        <f>Model!BQ127</f>
        <v>-2331.642742</v>
      </c>
      <c r="BR12" s="170">
        <f>Model!BR127</f>
        <v>1556.146095</v>
      </c>
    </row>
    <row r="13">
      <c r="A13" s="170"/>
      <c r="B13" s="215" t="s">
        <v>232</v>
      </c>
      <c r="C13" s="170"/>
      <c r="D13" s="170"/>
      <c r="E13" s="170">
        <f t="shared" ref="E13:I13" si="5">SUMIFS($K13:$BR13,$K$2:$BR$2,E$2)</f>
        <v>-21253.0183</v>
      </c>
      <c r="F13" s="170">
        <f t="shared" si="5"/>
        <v>-8319.707997</v>
      </c>
      <c r="G13" s="170">
        <f t="shared" si="5"/>
        <v>-3096.650883</v>
      </c>
      <c r="H13" s="170">
        <f t="shared" si="5"/>
        <v>-2711.542194</v>
      </c>
      <c r="I13" s="170">
        <f t="shared" si="5"/>
        <v>-2936.598859</v>
      </c>
      <c r="J13" s="170"/>
      <c r="K13" s="170">
        <f>Model!K130</f>
        <v>-8316.398466</v>
      </c>
      <c r="L13" s="170">
        <f>Model!L130</f>
        <v>-2156.103306</v>
      </c>
      <c r="M13" s="170">
        <f>Model!M130</f>
        <v>-1078.051653</v>
      </c>
      <c r="N13" s="170">
        <f>Model!N130</f>
        <v>-1078.051653</v>
      </c>
      <c r="O13" s="170">
        <f>Model!O130</f>
        <v>-1078.051653</v>
      </c>
      <c r="P13" s="170">
        <f>Model!P130</f>
        <v>-1078.051653</v>
      </c>
      <c r="Q13" s="170">
        <f>Model!Q130</f>
        <v>-1078.051653</v>
      </c>
      <c r="R13" s="170">
        <f>Model!R130</f>
        <v>-1078.051653</v>
      </c>
      <c r="S13" s="170">
        <f>Model!S130</f>
        <v>-1078.051653</v>
      </c>
      <c r="T13" s="170">
        <f>Model!T130</f>
        <v>-1078.051653</v>
      </c>
      <c r="U13" s="170">
        <f>Model!U130</f>
        <v>-1078.051653</v>
      </c>
      <c r="V13" s="170">
        <f>Model!V130</f>
        <v>-1078.051653</v>
      </c>
      <c r="W13" s="170">
        <f>Model!W130</f>
        <v>-1078.051653</v>
      </c>
      <c r="X13" s="170">
        <f>Model!X130</f>
        <v>-1078.051653</v>
      </c>
      <c r="Y13" s="170">
        <f>Model!Y130</f>
        <v>-1078.051653</v>
      </c>
      <c r="Z13" s="170">
        <f>Model!Z130</f>
        <v>-1078.051653</v>
      </c>
      <c r="AA13" s="170">
        <f>Model!AA130</f>
        <v>-1078.051653</v>
      </c>
      <c r="AB13" s="170">
        <f>Model!AB130</f>
        <v>-1078.051653</v>
      </c>
      <c r="AC13" s="170">
        <f>Model!AC130</f>
        <v>-300.314389</v>
      </c>
      <c r="AD13" s="170">
        <f>Model!AD130</f>
        <v>-303.5677949</v>
      </c>
      <c r="AE13" s="170">
        <f>Model!AE130</f>
        <v>-306.856446</v>
      </c>
      <c r="AF13" s="170">
        <f>Model!AF130</f>
        <v>-310.1807242</v>
      </c>
      <c r="AG13" s="170">
        <f>Model!AG130</f>
        <v>-313.5410154</v>
      </c>
      <c r="AH13" s="170">
        <f>Model!AH130</f>
        <v>-316.9377097</v>
      </c>
      <c r="AI13" s="170">
        <f>Model!AI130</f>
        <v>-246.4393858</v>
      </c>
      <c r="AJ13" s="170">
        <f>Model!AJ130</f>
        <v>-248.4930474</v>
      </c>
      <c r="AK13" s="170">
        <f>Model!AK130</f>
        <v>-250.5638228</v>
      </c>
      <c r="AL13" s="170">
        <f>Model!AL130</f>
        <v>-252.6518546</v>
      </c>
      <c r="AM13" s="170">
        <f>Model!AM130</f>
        <v>-254.7572867</v>
      </c>
      <c r="AN13" s="170">
        <f>Model!AN130</f>
        <v>-256.8802641</v>
      </c>
      <c r="AO13" s="170">
        <f>Model!AO130</f>
        <v>-259.020933</v>
      </c>
      <c r="AP13" s="170">
        <f>Model!AP130</f>
        <v>-261.1794408</v>
      </c>
      <c r="AQ13" s="170">
        <f>Model!AQ130</f>
        <v>-263.3559361</v>
      </c>
      <c r="AR13" s="170">
        <f>Model!AR130</f>
        <v>-265.5505689</v>
      </c>
      <c r="AS13" s="170">
        <f>Model!AS130</f>
        <v>-267.7634903</v>
      </c>
      <c r="AT13" s="170">
        <f>Model!AT130</f>
        <v>-269.9948527</v>
      </c>
      <c r="AU13" s="170">
        <f>Model!AU130</f>
        <v>-217.7958479</v>
      </c>
      <c r="AV13" s="170">
        <f>Model!AV130</f>
        <v>-219.2478202</v>
      </c>
      <c r="AW13" s="170">
        <f>Model!AW130</f>
        <v>-220.7094723</v>
      </c>
      <c r="AX13" s="170">
        <f>Model!AX130</f>
        <v>-222.1808688</v>
      </c>
      <c r="AY13" s="170">
        <f>Model!AY130</f>
        <v>-223.6620746</v>
      </c>
      <c r="AZ13" s="170">
        <f>Model!AZ130</f>
        <v>-225.1531551</v>
      </c>
      <c r="BA13" s="170">
        <f>Model!BA130</f>
        <v>-226.6541761</v>
      </c>
      <c r="BB13" s="170">
        <f>Model!BB130</f>
        <v>-228.165204</v>
      </c>
      <c r="BC13" s="170">
        <f>Model!BC130</f>
        <v>-229.6863053</v>
      </c>
      <c r="BD13" s="170">
        <f>Model!BD130</f>
        <v>-231.2175474</v>
      </c>
      <c r="BE13" s="170">
        <f>Model!BE130</f>
        <v>-232.7589977</v>
      </c>
      <c r="BF13" s="170">
        <f>Model!BF130</f>
        <v>-234.3107243</v>
      </c>
      <c r="BG13" s="170">
        <f>Model!BG130</f>
        <v>-235.8727958</v>
      </c>
      <c r="BH13" s="170">
        <f>Model!BH130</f>
        <v>-237.4452811</v>
      </c>
      <c r="BI13" s="170">
        <f>Model!BI130</f>
        <v>-239.0282497</v>
      </c>
      <c r="BJ13" s="170">
        <f>Model!BJ130</f>
        <v>-240.6217713</v>
      </c>
      <c r="BK13" s="170">
        <f>Model!BK130</f>
        <v>-242.2259165</v>
      </c>
      <c r="BL13" s="170">
        <f>Model!BL130</f>
        <v>-243.8407559</v>
      </c>
      <c r="BM13" s="170">
        <f>Model!BM130</f>
        <v>-245.466361</v>
      </c>
      <c r="BN13" s="170">
        <f>Model!BN130</f>
        <v>-247.1028034</v>
      </c>
      <c r="BO13" s="170">
        <f>Model!BO130</f>
        <v>-248.7501554</v>
      </c>
      <c r="BP13" s="170">
        <f>Model!BP130</f>
        <v>-250.4084898</v>
      </c>
      <c r="BQ13" s="170">
        <f>Model!BQ130</f>
        <v>-252.0778797</v>
      </c>
      <c r="BR13" s="170">
        <f>Model!BR130</f>
        <v>-253.7583989</v>
      </c>
    </row>
    <row r="14">
      <c r="A14" s="170"/>
      <c r="B14" s="215" t="s">
        <v>233</v>
      </c>
      <c r="C14" s="175"/>
      <c r="D14" s="175"/>
      <c r="E14" s="170">
        <f t="shared" ref="E14:I14" si="6">SUMIFS($K14:$BR14,$K$2:$BR$2,E$2)</f>
        <v>0</v>
      </c>
      <c r="F14" s="170">
        <f t="shared" si="6"/>
        <v>0</v>
      </c>
      <c r="G14" s="170">
        <f t="shared" si="6"/>
        <v>0</v>
      </c>
      <c r="H14" s="170">
        <f t="shared" si="6"/>
        <v>0</v>
      </c>
      <c r="I14" s="170">
        <f t="shared" si="6"/>
        <v>0</v>
      </c>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row>
    <row r="15">
      <c r="A15" s="170"/>
      <c r="B15" s="215" t="s">
        <v>234</v>
      </c>
      <c r="C15" s="217"/>
      <c r="D15" s="217"/>
      <c r="E15" s="170">
        <f t="shared" ref="E15:I15" si="7">SUMIFS($K15:$BR15,$K$2:$BR$2,E$2)</f>
        <v>20853.09591</v>
      </c>
      <c r="F15" s="170">
        <f t="shared" si="7"/>
        <v>8163.154352</v>
      </c>
      <c r="G15" s="170">
        <f t="shared" si="7"/>
        <v>3038.380571</v>
      </c>
      <c r="H15" s="170">
        <f t="shared" si="7"/>
        <v>2660.51855</v>
      </c>
      <c r="I15" s="170">
        <f t="shared" si="7"/>
        <v>2881.340278</v>
      </c>
      <c r="J15" s="170"/>
      <c r="K15" s="170">
        <f>Model!K128</f>
        <v>8159.907097</v>
      </c>
      <c r="L15" s="170">
        <f>Model!L128</f>
        <v>2115.53147</v>
      </c>
      <c r="M15" s="170">
        <f>Model!M128</f>
        <v>1057.765735</v>
      </c>
      <c r="N15" s="170">
        <f>Model!N128</f>
        <v>1057.765735</v>
      </c>
      <c r="O15" s="170">
        <f>Model!O128</f>
        <v>1057.765735</v>
      </c>
      <c r="P15" s="170">
        <f>Model!P128</f>
        <v>1057.765735</v>
      </c>
      <c r="Q15" s="170">
        <f>Model!Q128</f>
        <v>1057.765735</v>
      </c>
      <c r="R15" s="170">
        <f>Model!R128</f>
        <v>1057.765735</v>
      </c>
      <c r="S15" s="170">
        <f>Model!S128</f>
        <v>1057.765735</v>
      </c>
      <c r="T15" s="170">
        <f>Model!T128</f>
        <v>1057.765735</v>
      </c>
      <c r="U15" s="170">
        <f>Model!U128</f>
        <v>1057.765735</v>
      </c>
      <c r="V15" s="170">
        <f>Model!V128</f>
        <v>1057.765735</v>
      </c>
      <c r="W15" s="170">
        <f>Model!W128</f>
        <v>1057.765735</v>
      </c>
      <c r="X15" s="170">
        <f>Model!X128</f>
        <v>1057.765735</v>
      </c>
      <c r="Y15" s="170">
        <f>Model!Y128</f>
        <v>1057.765735</v>
      </c>
      <c r="Z15" s="170">
        <f>Model!Z128</f>
        <v>1057.765735</v>
      </c>
      <c r="AA15" s="170">
        <f>Model!AA128</f>
        <v>1057.765735</v>
      </c>
      <c r="AB15" s="170">
        <f>Model!AB128</f>
        <v>1057.765735</v>
      </c>
      <c r="AC15" s="170">
        <f>Model!AC128</f>
        <v>294.6633118</v>
      </c>
      <c r="AD15" s="170">
        <f>Model!AD128</f>
        <v>297.8554977</v>
      </c>
      <c r="AE15" s="170">
        <f>Model!AE128</f>
        <v>301.0822656</v>
      </c>
      <c r="AF15" s="170">
        <f>Model!AF128</f>
        <v>304.3439901</v>
      </c>
      <c r="AG15" s="170">
        <f>Model!AG128</f>
        <v>307.64105</v>
      </c>
      <c r="AH15" s="170">
        <f>Model!AH128</f>
        <v>310.9738281</v>
      </c>
      <c r="AI15" s="170">
        <f>Model!AI128</f>
        <v>241.8020855</v>
      </c>
      <c r="AJ15" s="170">
        <f>Model!AJ128</f>
        <v>243.8171029</v>
      </c>
      <c r="AK15" s="170">
        <f>Model!AK128</f>
        <v>245.8489121</v>
      </c>
      <c r="AL15" s="170">
        <f>Model!AL128</f>
        <v>247.8976531</v>
      </c>
      <c r="AM15" s="170">
        <f>Model!AM128</f>
        <v>249.9634668</v>
      </c>
      <c r="AN15" s="170">
        <f>Model!AN128</f>
        <v>252.0464957</v>
      </c>
      <c r="AO15" s="170">
        <f>Model!AO128</f>
        <v>254.1468832</v>
      </c>
      <c r="AP15" s="170">
        <f>Model!AP128</f>
        <v>256.2647739</v>
      </c>
      <c r="AQ15" s="170">
        <f>Model!AQ128</f>
        <v>258.4003137</v>
      </c>
      <c r="AR15" s="170">
        <f>Model!AR128</f>
        <v>260.5536496</v>
      </c>
      <c r="AS15" s="170">
        <f>Model!AS128</f>
        <v>262.72493</v>
      </c>
      <c r="AT15" s="170">
        <f>Model!AT128</f>
        <v>264.9143044</v>
      </c>
      <c r="AU15" s="170">
        <f>Model!AU128</f>
        <v>213.6975389</v>
      </c>
      <c r="AV15" s="170">
        <f>Model!AV128</f>
        <v>215.1221892</v>
      </c>
      <c r="AW15" s="170">
        <f>Model!AW128</f>
        <v>216.5563371</v>
      </c>
      <c r="AX15" s="170">
        <f>Model!AX128</f>
        <v>218.000046</v>
      </c>
      <c r="AY15" s="170">
        <f>Model!AY128</f>
        <v>219.4533797</v>
      </c>
      <c r="AZ15" s="170">
        <f>Model!AZ128</f>
        <v>220.9164022</v>
      </c>
      <c r="BA15" s="170">
        <f>Model!BA128</f>
        <v>222.3891782</v>
      </c>
      <c r="BB15" s="170">
        <f>Model!BB128</f>
        <v>223.8717727</v>
      </c>
      <c r="BC15" s="170">
        <f>Model!BC128</f>
        <v>225.3642512</v>
      </c>
      <c r="BD15" s="170">
        <f>Model!BD128</f>
        <v>226.8666795</v>
      </c>
      <c r="BE15" s="170">
        <f>Model!BE128</f>
        <v>228.3791241</v>
      </c>
      <c r="BF15" s="170">
        <f>Model!BF128</f>
        <v>229.9016516</v>
      </c>
      <c r="BG15" s="170">
        <f>Model!BG128</f>
        <v>231.4343292</v>
      </c>
      <c r="BH15" s="170">
        <f>Model!BH128</f>
        <v>232.9772248</v>
      </c>
      <c r="BI15" s="170">
        <f>Model!BI128</f>
        <v>234.5304063</v>
      </c>
      <c r="BJ15" s="170">
        <f>Model!BJ128</f>
        <v>236.0939423</v>
      </c>
      <c r="BK15" s="170">
        <f>Model!BK128</f>
        <v>237.6679019</v>
      </c>
      <c r="BL15" s="170">
        <f>Model!BL128</f>
        <v>239.2523546</v>
      </c>
      <c r="BM15" s="170">
        <f>Model!BM128</f>
        <v>240.8473703</v>
      </c>
      <c r="BN15" s="170">
        <f>Model!BN128</f>
        <v>242.4530194</v>
      </c>
      <c r="BO15" s="170">
        <f>Model!BO128</f>
        <v>244.0693729</v>
      </c>
      <c r="BP15" s="170">
        <f>Model!BP128</f>
        <v>245.6965021</v>
      </c>
      <c r="BQ15" s="170">
        <f>Model!BQ128</f>
        <v>247.3344787</v>
      </c>
      <c r="BR15" s="170">
        <f>Model!BR128</f>
        <v>248.9833753</v>
      </c>
    </row>
    <row r="16">
      <c r="A16" s="170"/>
      <c r="B16" s="215" t="s">
        <v>235</v>
      </c>
      <c r="C16" s="170"/>
      <c r="D16" s="170"/>
      <c r="E16" s="170">
        <f t="shared" ref="E16:I16" si="8">SUMIFS($K16:$BR16,$K$2:$BR$2,E$2)</f>
        <v>0</v>
      </c>
      <c r="F16" s="170">
        <f t="shared" si="8"/>
        <v>0</v>
      </c>
      <c r="G16" s="170">
        <f t="shared" si="8"/>
        <v>0</v>
      </c>
      <c r="H16" s="170">
        <f t="shared" si="8"/>
        <v>0</v>
      </c>
      <c r="I16" s="170">
        <f t="shared" si="8"/>
        <v>0</v>
      </c>
      <c r="J16" s="170"/>
      <c r="K16" s="170">
        <f>Model!K129</f>
        <v>0</v>
      </c>
      <c r="L16" s="170">
        <f>Model!L129</f>
        <v>0</v>
      </c>
      <c r="M16" s="170">
        <f>Model!M129</f>
        <v>0</v>
      </c>
      <c r="N16" s="170">
        <f>Model!N129</f>
        <v>0</v>
      </c>
      <c r="O16" s="170">
        <f>Model!O129</f>
        <v>0</v>
      </c>
      <c r="P16" s="170">
        <f>Model!P129</f>
        <v>0</v>
      </c>
      <c r="Q16" s="170">
        <f>Model!Q129</f>
        <v>0</v>
      </c>
      <c r="R16" s="170">
        <f>Model!R129</f>
        <v>0</v>
      </c>
      <c r="S16" s="170">
        <f>Model!S129</f>
        <v>0</v>
      </c>
      <c r="T16" s="170">
        <f>Model!T129</f>
        <v>0</v>
      </c>
      <c r="U16" s="170">
        <f>Model!U129</f>
        <v>0</v>
      </c>
      <c r="V16" s="170">
        <f>Model!V129</f>
        <v>0</v>
      </c>
      <c r="W16" s="170">
        <f>Model!W129</f>
        <v>0</v>
      </c>
      <c r="X16" s="170">
        <f>Model!X129</f>
        <v>0</v>
      </c>
      <c r="Y16" s="170">
        <f>Model!Y129</f>
        <v>0</v>
      </c>
      <c r="Z16" s="170">
        <f>Model!Z129</f>
        <v>0</v>
      </c>
      <c r="AA16" s="170">
        <f>Model!AA129</f>
        <v>0</v>
      </c>
      <c r="AB16" s="170">
        <f>Model!AB129</f>
        <v>0</v>
      </c>
      <c r="AC16" s="170">
        <f>Model!AC129</f>
        <v>0</v>
      </c>
      <c r="AD16" s="170">
        <f>Model!AD129</f>
        <v>0</v>
      </c>
      <c r="AE16" s="170">
        <f>Model!AE129</f>
        <v>0</v>
      </c>
      <c r="AF16" s="170">
        <f>Model!AF129</f>
        <v>0</v>
      </c>
      <c r="AG16" s="170">
        <f>Model!AG129</f>
        <v>0</v>
      </c>
      <c r="AH16" s="170">
        <f>Model!AH129</f>
        <v>0</v>
      </c>
      <c r="AI16" s="170">
        <f>Model!AI129</f>
        <v>0</v>
      </c>
      <c r="AJ16" s="170">
        <f>Model!AJ129</f>
        <v>0</v>
      </c>
      <c r="AK16" s="170">
        <f>Model!AK129</f>
        <v>0</v>
      </c>
      <c r="AL16" s="170">
        <f>Model!AL129</f>
        <v>0</v>
      </c>
      <c r="AM16" s="170">
        <f>Model!AM129</f>
        <v>0</v>
      </c>
      <c r="AN16" s="170">
        <f>Model!AN129</f>
        <v>0</v>
      </c>
      <c r="AO16" s="170">
        <f>Model!AO129</f>
        <v>0</v>
      </c>
      <c r="AP16" s="170">
        <f>Model!AP129</f>
        <v>0</v>
      </c>
      <c r="AQ16" s="170">
        <f>Model!AQ129</f>
        <v>0</v>
      </c>
      <c r="AR16" s="170">
        <f>Model!AR129</f>
        <v>0</v>
      </c>
      <c r="AS16" s="170">
        <f>Model!AS129</f>
        <v>0</v>
      </c>
      <c r="AT16" s="170">
        <f>Model!AT129</f>
        <v>0</v>
      </c>
      <c r="AU16" s="170">
        <f>Model!AU129</f>
        <v>0</v>
      </c>
      <c r="AV16" s="170">
        <f>Model!AV129</f>
        <v>0</v>
      </c>
      <c r="AW16" s="170">
        <f>Model!AW129</f>
        <v>0</v>
      </c>
      <c r="AX16" s="170">
        <f>Model!AX129</f>
        <v>0</v>
      </c>
      <c r="AY16" s="170">
        <f>Model!AY129</f>
        <v>0</v>
      </c>
      <c r="AZ16" s="170">
        <f>Model!AZ129</f>
        <v>0</v>
      </c>
      <c r="BA16" s="170">
        <f>Model!BA129</f>
        <v>0</v>
      </c>
      <c r="BB16" s="170">
        <f>Model!BB129</f>
        <v>0</v>
      </c>
      <c r="BC16" s="170">
        <f>Model!BC129</f>
        <v>0</v>
      </c>
      <c r="BD16" s="170">
        <f>Model!BD129</f>
        <v>0</v>
      </c>
      <c r="BE16" s="170">
        <f>Model!BE129</f>
        <v>0</v>
      </c>
      <c r="BF16" s="170">
        <f>Model!BF129</f>
        <v>0</v>
      </c>
      <c r="BG16" s="170">
        <f>Model!BG129</f>
        <v>0</v>
      </c>
      <c r="BH16" s="170">
        <f>Model!BH129</f>
        <v>0</v>
      </c>
      <c r="BI16" s="170">
        <f>Model!BI129</f>
        <v>0</v>
      </c>
      <c r="BJ16" s="170">
        <f>Model!BJ129</f>
        <v>0</v>
      </c>
      <c r="BK16" s="170">
        <f>Model!BK129</f>
        <v>0</v>
      </c>
      <c r="BL16" s="170">
        <f>Model!BL129</f>
        <v>0</v>
      </c>
      <c r="BM16" s="170">
        <f>Model!BM129</f>
        <v>0</v>
      </c>
      <c r="BN16" s="170">
        <f>Model!BN129</f>
        <v>0</v>
      </c>
      <c r="BO16" s="170">
        <f>Model!BO129</f>
        <v>0</v>
      </c>
      <c r="BP16" s="170">
        <f>Model!BP129</f>
        <v>0</v>
      </c>
      <c r="BQ16" s="170">
        <f>Model!BQ129</f>
        <v>0</v>
      </c>
      <c r="BR16" s="170">
        <f>Model!BR129</f>
        <v>0</v>
      </c>
    </row>
    <row r="17" ht="17.25" customHeight="1">
      <c r="A17" s="170"/>
      <c r="B17" s="237"/>
      <c r="C17" s="236"/>
      <c r="D17" s="236"/>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c r="BJ17" s="182"/>
      <c r="BK17" s="182"/>
      <c r="BL17" s="182"/>
      <c r="BM17" s="182"/>
      <c r="BN17" s="182"/>
      <c r="BO17" s="182"/>
      <c r="BP17" s="182"/>
      <c r="BQ17" s="182"/>
      <c r="BR17" s="182"/>
    </row>
    <row r="18">
      <c r="A18" s="170"/>
      <c r="B18" s="234" t="s">
        <v>236</v>
      </c>
      <c r="C18" s="170"/>
      <c r="D18" s="170"/>
      <c r="E18" s="170">
        <f t="shared" ref="E18:I18" si="9">SUM(E7:E17)</f>
        <v>-89386.5573</v>
      </c>
      <c r="F18" s="170">
        <f t="shared" si="9"/>
        <v>13926.35869</v>
      </c>
      <c r="G18" s="170">
        <f t="shared" si="9"/>
        <v>49202.15808</v>
      </c>
      <c r="H18" s="170">
        <f t="shared" si="9"/>
        <v>61410.89433</v>
      </c>
      <c r="I18" s="170">
        <f t="shared" si="9"/>
        <v>72397.11529</v>
      </c>
      <c r="J18" s="170"/>
      <c r="K18" s="170">
        <f t="shared" ref="K18:BR18" si="10">SUM(K7:K17)</f>
        <v>-21522.2086</v>
      </c>
      <c r="L18" s="170">
        <f t="shared" si="10"/>
        <v>-11287.08872</v>
      </c>
      <c r="M18" s="170">
        <f t="shared" si="10"/>
        <v>-7931.39096</v>
      </c>
      <c r="N18" s="170">
        <f t="shared" si="10"/>
        <v>-8499.638376</v>
      </c>
      <c r="O18" s="170">
        <f t="shared" si="10"/>
        <v>-6596.617632</v>
      </c>
      <c r="P18" s="170">
        <f t="shared" si="10"/>
        <v>-6629.685955</v>
      </c>
      <c r="Q18" s="170">
        <f t="shared" si="10"/>
        <v>-8623.016352</v>
      </c>
      <c r="R18" s="170">
        <f t="shared" si="10"/>
        <v>-2799.471461</v>
      </c>
      <c r="S18" s="170">
        <f t="shared" si="10"/>
        <v>-5713.624707</v>
      </c>
      <c r="T18" s="170">
        <f t="shared" si="10"/>
        <v>-3259.684309</v>
      </c>
      <c r="U18" s="170">
        <f t="shared" si="10"/>
        <v>-4599.21924</v>
      </c>
      <c r="V18" s="170">
        <f t="shared" si="10"/>
        <v>-1924.910981</v>
      </c>
      <c r="W18" s="170">
        <f t="shared" si="10"/>
        <v>-2127.36329</v>
      </c>
      <c r="X18" s="170">
        <f t="shared" si="10"/>
        <v>-2694.272758</v>
      </c>
      <c r="Y18" s="170">
        <f t="shared" si="10"/>
        <v>327.6658024</v>
      </c>
      <c r="Z18" s="170">
        <f t="shared" si="10"/>
        <v>-1545.710272</v>
      </c>
      <c r="AA18" s="170">
        <f t="shared" si="10"/>
        <v>1696.59615</v>
      </c>
      <c r="AB18" s="170">
        <f t="shared" si="10"/>
        <v>1019.502751</v>
      </c>
      <c r="AC18" s="170">
        <f t="shared" si="10"/>
        <v>-2190.544328</v>
      </c>
      <c r="AD18" s="170">
        <f t="shared" si="10"/>
        <v>7197.780806</v>
      </c>
      <c r="AE18" s="170">
        <f t="shared" si="10"/>
        <v>1316.186399</v>
      </c>
      <c r="AF18" s="170">
        <f t="shared" si="10"/>
        <v>4428.858741</v>
      </c>
      <c r="AG18" s="170">
        <f t="shared" si="10"/>
        <v>1658.748347</v>
      </c>
      <c r="AH18" s="170">
        <f t="shared" si="10"/>
        <v>4838.91034</v>
      </c>
      <c r="AI18" s="170">
        <f t="shared" si="10"/>
        <v>3192.15295</v>
      </c>
      <c r="AJ18" s="170">
        <f t="shared" si="10"/>
        <v>1816.548967</v>
      </c>
      <c r="AK18" s="170">
        <f t="shared" si="10"/>
        <v>5051.832127</v>
      </c>
      <c r="AL18" s="170">
        <f t="shared" si="10"/>
        <v>2116.406724</v>
      </c>
      <c r="AM18" s="170">
        <f t="shared" si="10"/>
        <v>5405.592484</v>
      </c>
      <c r="AN18" s="170">
        <f t="shared" si="10"/>
        <v>4009.214037</v>
      </c>
      <c r="AO18" s="170">
        <f t="shared" si="10"/>
        <v>-971.8077835</v>
      </c>
      <c r="AP18" s="170">
        <f t="shared" si="10"/>
        <v>9492.970909</v>
      </c>
      <c r="AQ18" s="170">
        <f t="shared" si="10"/>
        <v>2886.042835</v>
      </c>
      <c r="AR18" s="170">
        <f t="shared" si="10"/>
        <v>6313.964967</v>
      </c>
      <c r="AS18" s="170">
        <f t="shared" si="10"/>
        <v>3202.095554</v>
      </c>
      <c r="AT18" s="170">
        <f t="shared" si="10"/>
        <v>6687.144312</v>
      </c>
      <c r="AU18" s="170">
        <f t="shared" si="10"/>
        <v>4307.938061</v>
      </c>
      <c r="AV18" s="170">
        <f t="shared" si="10"/>
        <v>2760.371641</v>
      </c>
      <c r="AW18" s="170">
        <f t="shared" si="10"/>
        <v>6289.209259</v>
      </c>
      <c r="AX18" s="170">
        <f t="shared" si="10"/>
        <v>3028.898851</v>
      </c>
      <c r="AY18" s="170">
        <f t="shared" si="10"/>
        <v>6604.749869</v>
      </c>
      <c r="AZ18" s="170">
        <f t="shared" si="10"/>
        <v>5038.044602</v>
      </c>
      <c r="BA18" s="170">
        <f t="shared" si="10"/>
        <v>1568.090031</v>
      </c>
      <c r="BB18" s="170">
        <f t="shared" si="10"/>
        <v>8954.880611</v>
      </c>
      <c r="BC18" s="170">
        <f t="shared" si="10"/>
        <v>3714.324274</v>
      </c>
      <c r="BD18" s="170">
        <f t="shared" si="10"/>
        <v>7410.47882</v>
      </c>
      <c r="BE18" s="170">
        <f t="shared" si="10"/>
        <v>3994.251016</v>
      </c>
      <c r="BF18" s="170">
        <f t="shared" si="10"/>
        <v>7739.657291</v>
      </c>
      <c r="BG18" s="170">
        <f t="shared" si="10"/>
        <v>5162.897657</v>
      </c>
      <c r="BH18" s="170">
        <f t="shared" si="10"/>
        <v>3485.676604</v>
      </c>
      <c r="BI18" s="170">
        <f t="shared" si="10"/>
        <v>7306.19862</v>
      </c>
      <c r="BJ18" s="170">
        <f t="shared" si="10"/>
        <v>3774.076672</v>
      </c>
      <c r="BK18" s="170">
        <f t="shared" si="10"/>
        <v>7645.514178</v>
      </c>
      <c r="BL18" s="170">
        <f t="shared" si="10"/>
        <v>5947.565764</v>
      </c>
      <c r="BM18" s="170">
        <f t="shared" si="10"/>
        <v>18.97475931</v>
      </c>
      <c r="BN18" s="170">
        <f t="shared" si="10"/>
        <v>12356.50699</v>
      </c>
      <c r="BO18" s="170">
        <f t="shared" si="10"/>
        <v>4510.35515</v>
      </c>
      <c r="BP18" s="170">
        <f t="shared" si="10"/>
        <v>8512.081317</v>
      </c>
      <c r="BQ18" s="170">
        <f t="shared" si="10"/>
        <v>4811.100907</v>
      </c>
      <c r="BR18" s="170">
        <f t="shared" si="10"/>
        <v>8866.166672</v>
      </c>
    </row>
    <row r="19">
      <c r="A19" s="170"/>
      <c r="B19" s="215"/>
      <c r="C19" s="175"/>
      <c r="D19" s="175"/>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row>
    <row r="20">
      <c r="A20" s="170"/>
      <c r="B20" s="233" t="s">
        <v>237</v>
      </c>
      <c r="C20" s="179"/>
      <c r="D20" s="179"/>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c r="A21" s="170"/>
      <c r="B21" s="215" t="s">
        <v>238</v>
      </c>
      <c r="C21" s="179"/>
      <c r="D21" s="179"/>
      <c r="E21" s="170">
        <f t="shared" ref="E21:I21" si="11">SUMIFS($K21:$BR21,$K$2:$BR$2,E$2)</f>
        <v>-177825</v>
      </c>
      <c r="F21" s="170">
        <f t="shared" si="11"/>
        <v>0</v>
      </c>
      <c r="G21" s="170">
        <f t="shared" si="11"/>
        <v>0</v>
      </c>
      <c r="H21" s="170">
        <f t="shared" si="11"/>
        <v>0</v>
      </c>
      <c r="I21" s="170">
        <f t="shared" si="11"/>
        <v>0</v>
      </c>
      <c r="J21" s="170"/>
      <c r="K21" s="170">
        <f>Model!K134</f>
        <v>-177825</v>
      </c>
      <c r="L21" s="170">
        <f>Model!L134</f>
        <v>0</v>
      </c>
      <c r="M21" s="170">
        <f>Model!M134</f>
        <v>0</v>
      </c>
      <c r="N21" s="170">
        <f>Model!N134</f>
        <v>0</v>
      </c>
      <c r="O21" s="170">
        <f>Model!O134</f>
        <v>0</v>
      </c>
      <c r="P21" s="170">
        <f>Model!P134</f>
        <v>0</v>
      </c>
      <c r="Q21" s="170">
        <f>Model!Q134</f>
        <v>0</v>
      </c>
      <c r="R21" s="170">
        <f>Model!R134</f>
        <v>0</v>
      </c>
      <c r="S21" s="170">
        <f>Model!S134</f>
        <v>0</v>
      </c>
      <c r="T21" s="170">
        <f>Model!T134</f>
        <v>0</v>
      </c>
      <c r="U21" s="170">
        <f>Model!U134</f>
        <v>0</v>
      </c>
      <c r="V21" s="170">
        <f>Model!V134</f>
        <v>0</v>
      </c>
      <c r="W21" s="170">
        <f>Model!W134</f>
        <v>0</v>
      </c>
      <c r="X21" s="170">
        <f>Model!X134</f>
        <v>0</v>
      </c>
      <c r="Y21" s="170">
        <f>Model!Y134</f>
        <v>0</v>
      </c>
      <c r="Z21" s="170">
        <f>Model!Z134</f>
        <v>0</v>
      </c>
      <c r="AA21" s="170">
        <f>Model!AA134</f>
        <v>0</v>
      </c>
      <c r="AB21" s="170">
        <f>Model!AB134</f>
        <v>0</v>
      </c>
      <c r="AC21" s="170">
        <f>Model!AC134</f>
        <v>0</v>
      </c>
      <c r="AD21" s="170">
        <f>Model!AD134</f>
        <v>0</v>
      </c>
      <c r="AE21" s="170">
        <f>Model!AE134</f>
        <v>0</v>
      </c>
      <c r="AF21" s="170">
        <f>Model!AF134</f>
        <v>0</v>
      </c>
      <c r="AG21" s="170">
        <f>Model!AG134</f>
        <v>0</v>
      </c>
      <c r="AH21" s="170">
        <f>Model!AH134</f>
        <v>0</v>
      </c>
      <c r="AI21" s="170">
        <f>Model!AI134</f>
        <v>0</v>
      </c>
      <c r="AJ21" s="170">
        <f>Model!AJ134</f>
        <v>0</v>
      </c>
      <c r="AK21" s="170">
        <f>Model!AK134</f>
        <v>0</v>
      </c>
      <c r="AL21" s="170">
        <f>Model!AL134</f>
        <v>0</v>
      </c>
      <c r="AM21" s="170">
        <f>Model!AM134</f>
        <v>0</v>
      </c>
      <c r="AN21" s="170">
        <f>Model!AN134</f>
        <v>0</v>
      </c>
      <c r="AO21" s="170">
        <f>Model!AO134</f>
        <v>0</v>
      </c>
      <c r="AP21" s="170">
        <f>Model!AP134</f>
        <v>0</v>
      </c>
      <c r="AQ21" s="170">
        <f>Model!AQ134</f>
        <v>0</v>
      </c>
      <c r="AR21" s="170">
        <f>Model!AR134</f>
        <v>0</v>
      </c>
      <c r="AS21" s="170">
        <f>Model!AS134</f>
        <v>0</v>
      </c>
      <c r="AT21" s="170">
        <f>Model!AT134</f>
        <v>0</v>
      </c>
      <c r="AU21" s="170">
        <f>Model!AU134</f>
        <v>0</v>
      </c>
      <c r="AV21" s="170">
        <f>Model!AV134</f>
        <v>0</v>
      </c>
      <c r="AW21" s="170">
        <f>Model!AW134</f>
        <v>0</v>
      </c>
      <c r="AX21" s="170">
        <f>Model!AX134</f>
        <v>0</v>
      </c>
      <c r="AY21" s="170">
        <f>Model!AY134</f>
        <v>0</v>
      </c>
      <c r="AZ21" s="170">
        <f>Model!AZ134</f>
        <v>0</v>
      </c>
      <c r="BA21" s="170">
        <f>Model!BA134</f>
        <v>0</v>
      </c>
      <c r="BB21" s="170">
        <f>Model!BB134</f>
        <v>0</v>
      </c>
      <c r="BC21" s="170">
        <f>Model!BC134</f>
        <v>0</v>
      </c>
      <c r="BD21" s="170">
        <f>Model!BD134</f>
        <v>0</v>
      </c>
      <c r="BE21" s="170">
        <f>Model!BE134</f>
        <v>0</v>
      </c>
      <c r="BF21" s="170">
        <f>Model!BF134</f>
        <v>0</v>
      </c>
      <c r="BG21" s="170">
        <f>Model!BG134</f>
        <v>0</v>
      </c>
      <c r="BH21" s="170">
        <f>Model!BH134</f>
        <v>0</v>
      </c>
      <c r="BI21" s="170">
        <f>Model!BI134</f>
        <v>0</v>
      </c>
      <c r="BJ21" s="170">
        <f>Model!BJ134</f>
        <v>0</v>
      </c>
      <c r="BK21" s="170">
        <f>Model!BK134</f>
        <v>0</v>
      </c>
      <c r="BL21" s="170">
        <f>Model!BL134</f>
        <v>0</v>
      </c>
      <c r="BM21" s="170">
        <f>Model!BM134</f>
        <v>0</v>
      </c>
      <c r="BN21" s="170">
        <f>Model!BN134</f>
        <v>0</v>
      </c>
      <c r="BO21" s="170">
        <f>Model!BO134</f>
        <v>0</v>
      </c>
      <c r="BP21" s="170">
        <f>Model!BP134</f>
        <v>0</v>
      </c>
      <c r="BQ21" s="170">
        <f>Model!BQ134</f>
        <v>0</v>
      </c>
      <c r="BR21" s="170">
        <f>Model!BR134</f>
        <v>0</v>
      </c>
    </row>
    <row r="22">
      <c r="A22" s="170"/>
      <c r="B22" s="215"/>
      <c r="C22" s="179"/>
      <c r="D22" s="179"/>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c r="A23" s="170"/>
      <c r="B23" s="234" t="s">
        <v>239</v>
      </c>
      <c r="C23" s="179"/>
      <c r="D23" s="179"/>
      <c r="E23" s="170">
        <f t="shared" ref="E23:I23" si="12">SUMIFS($K23:$BR23,$K$2:$BR$2,E$2)</f>
        <v>-267211.5573</v>
      </c>
      <c r="F23" s="170">
        <f t="shared" si="12"/>
        <v>13926.35869</v>
      </c>
      <c r="G23" s="170">
        <f t="shared" si="12"/>
        <v>49202.15808</v>
      </c>
      <c r="H23" s="170">
        <f t="shared" si="12"/>
        <v>61410.89433</v>
      </c>
      <c r="I23" s="170">
        <f t="shared" si="12"/>
        <v>72397.11529</v>
      </c>
      <c r="J23" s="170"/>
      <c r="K23" s="170">
        <f t="shared" ref="K23:BR23" si="13">K18+K21</f>
        <v>-199347.2086</v>
      </c>
      <c r="L23" s="170">
        <f t="shared" si="13"/>
        <v>-11287.08872</v>
      </c>
      <c r="M23" s="170">
        <f t="shared" si="13"/>
        <v>-7931.39096</v>
      </c>
      <c r="N23" s="170">
        <f t="shared" si="13"/>
        <v>-8499.638376</v>
      </c>
      <c r="O23" s="170">
        <f t="shared" si="13"/>
        <v>-6596.617632</v>
      </c>
      <c r="P23" s="170">
        <f t="shared" si="13"/>
        <v>-6629.685955</v>
      </c>
      <c r="Q23" s="170">
        <f t="shared" si="13"/>
        <v>-8623.016352</v>
      </c>
      <c r="R23" s="170">
        <f t="shared" si="13"/>
        <v>-2799.471461</v>
      </c>
      <c r="S23" s="170">
        <f t="shared" si="13"/>
        <v>-5713.624707</v>
      </c>
      <c r="T23" s="170">
        <f t="shared" si="13"/>
        <v>-3259.684309</v>
      </c>
      <c r="U23" s="170">
        <f t="shared" si="13"/>
        <v>-4599.21924</v>
      </c>
      <c r="V23" s="170">
        <f t="shared" si="13"/>
        <v>-1924.910981</v>
      </c>
      <c r="W23" s="170">
        <f t="shared" si="13"/>
        <v>-2127.36329</v>
      </c>
      <c r="X23" s="170">
        <f t="shared" si="13"/>
        <v>-2694.272758</v>
      </c>
      <c r="Y23" s="170">
        <f t="shared" si="13"/>
        <v>327.6658024</v>
      </c>
      <c r="Z23" s="170">
        <f t="shared" si="13"/>
        <v>-1545.710272</v>
      </c>
      <c r="AA23" s="170">
        <f t="shared" si="13"/>
        <v>1696.59615</v>
      </c>
      <c r="AB23" s="170">
        <f t="shared" si="13"/>
        <v>1019.502751</v>
      </c>
      <c r="AC23" s="170">
        <f t="shared" si="13"/>
        <v>-2190.544328</v>
      </c>
      <c r="AD23" s="170">
        <f t="shared" si="13"/>
        <v>7197.780806</v>
      </c>
      <c r="AE23" s="170">
        <f t="shared" si="13"/>
        <v>1316.186399</v>
      </c>
      <c r="AF23" s="170">
        <f t="shared" si="13"/>
        <v>4428.858741</v>
      </c>
      <c r="AG23" s="170">
        <f t="shared" si="13"/>
        <v>1658.748347</v>
      </c>
      <c r="AH23" s="170">
        <f t="shared" si="13"/>
        <v>4838.91034</v>
      </c>
      <c r="AI23" s="170">
        <f t="shared" si="13"/>
        <v>3192.15295</v>
      </c>
      <c r="AJ23" s="170">
        <f t="shared" si="13"/>
        <v>1816.548967</v>
      </c>
      <c r="AK23" s="170">
        <f t="shared" si="13"/>
        <v>5051.832127</v>
      </c>
      <c r="AL23" s="170">
        <f t="shared" si="13"/>
        <v>2116.406724</v>
      </c>
      <c r="AM23" s="170">
        <f t="shared" si="13"/>
        <v>5405.592484</v>
      </c>
      <c r="AN23" s="170">
        <f t="shared" si="13"/>
        <v>4009.214037</v>
      </c>
      <c r="AO23" s="170">
        <f t="shared" si="13"/>
        <v>-971.8077835</v>
      </c>
      <c r="AP23" s="170">
        <f t="shared" si="13"/>
        <v>9492.970909</v>
      </c>
      <c r="AQ23" s="170">
        <f t="shared" si="13"/>
        <v>2886.042835</v>
      </c>
      <c r="AR23" s="170">
        <f t="shared" si="13"/>
        <v>6313.964967</v>
      </c>
      <c r="AS23" s="170">
        <f t="shared" si="13"/>
        <v>3202.095554</v>
      </c>
      <c r="AT23" s="170">
        <f t="shared" si="13"/>
        <v>6687.144312</v>
      </c>
      <c r="AU23" s="170">
        <f t="shared" si="13"/>
        <v>4307.938061</v>
      </c>
      <c r="AV23" s="170">
        <f t="shared" si="13"/>
        <v>2760.371641</v>
      </c>
      <c r="AW23" s="170">
        <f t="shared" si="13"/>
        <v>6289.209259</v>
      </c>
      <c r="AX23" s="170">
        <f t="shared" si="13"/>
        <v>3028.898851</v>
      </c>
      <c r="AY23" s="170">
        <f t="shared" si="13"/>
        <v>6604.749869</v>
      </c>
      <c r="AZ23" s="170">
        <f t="shared" si="13"/>
        <v>5038.044602</v>
      </c>
      <c r="BA23" s="170">
        <f t="shared" si="13"/>
        <v>1568.090031</v>
      </c>
      <c r="BB23" s="170">
        <f t="shared" si="13"/>
        <v>8954.880611</v>
      </c>
      <c r="BC23" s="170">
        <f t="shared" si="13"/>
        <v>3714.324274</v>
      </c>
      <c r="BD23" s="170">
        <f t="shared" si="13"/>
        <v>7410.47882</v>
      </c>
      <c r="BE23" s="170">
        <f t="shared" si="13"/>
        <v>3994.251016</v>
      </c>
      <c r="BF23" s="170">
        <f t="shared" si="13"/>
        <v>7739.657291</v>
      </c>
      <c r="BG23" s="170">
        <f t="shared" si="13"/>
        <v>5162.897657</v>
      </c>
      <c r="BH23" s="170">
        <f t="shared" si="13"/>
        <v>3485.676604</v>
      </c>
      <c r="BI23" s="170">
        <f t="shared" si="13"/>
        <v>7306.19862</v>
      </c>
      <c r="BJ23" s="170">
        <f t="shared" si="13"/>
        <v>3774.076672</v>
      </c>
      <c r="BK23" s="170">
        <f t="shared" si="13"/>
        <v>7645.514178</v>
      </c>
      <c r="BL23" s="170">
        <f t="shared" si="13"/>
        <v>5947.565764</v>
      </c>
      <c r="BM23" s="170">
        <f t="shared" si="13"/>
        <v>18.97475931</v>
      </c>
      <c r="BN23" s="170">
        <f t="shared" si="13"/>
        <v>12356.50699</v>
      </c>
      <c r="BO23" s="170">
        <f t="shared" si="13"/>
        <v>4510.35515</v>
      </c>
      <c r="BP23" s="170">
        <f t="shared" si="13"/>
        <v>8512.081317</v>
      </c>
      <c r="BQ23" s="170">
        <f t="shared" si="13"/>
        <v>4811.100907</v>
      </c>
      <c r="BR23" s="170">
        <f t="shared" si="13"/>
        <v>8866.166672</v>
      </c>
    </row>
    <row r="24">
      <c r="A24" s="170"/>
      <c r="B24" s="233"/>
      <c r="C24" s="179"/>
      <c r="D24" s="179"/>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row>
    <row r="25">
      <c r="A25" s="170"/>
      <c r="B25" s="233" t="s">
        <v>240</v>
      </c>
      <c r="C25" s="219"/>
      <c r="D25" s="219"/>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row>
    <row r="26">
      <c r="A26" s="170"/>
      <c r="B26" s="215" t="s">
        <v>241</v>
      </c>
      <c r="C26" s="236"/>
      <c r="D26" s="236"/>
      <c r="E26" s="170">
        <f t="shared" ref="E26:I26" si="14">SUMIFS($K26:$BR26,$K$2:$BR$2,E$2)</f>
        <v>219450</v>
      </c>
      <c r="F26" s="170">
        <f t="shared" si="14"/>
        <v>-19950</v>
      </c>
      <c r="G26" s="170">
        <f t="shared" si="14"/>
        <v>-19950</v>
      </c>
      <c r="H26" s="170">
        <f t="shared" si="14"/>
        <v>-19950</v>
      </c>
      <c r="I26" s="170">
        <f t="shared" si="14"/>
        <v>-19950</v>
      </c>
      <c r="J26" s="170"/>
      <c r="K26" s="170">
        <f>Model!K$136+Model!K$137</f>
        <v>237737.5</v>
      </c>
      <c r="L26" s="170">
        <f>Model!L$136+Model!L$137</f>
        <v>-1662.5</v>
      </c>
      <c r="M26" s="170">
        <f>Model!M$136+Model!M$137</f>
        <v>-1662.5</v>
      </c>
      <c r="N26" s="170">
        <f>Model!N$136+Model!N$137</f>
        <v>-1662.5</v>
      </c>
      <c r="O26" s="170">
        <f>Model!O$136+Model!O$137</f>
        <v>-1662.5</v>
      </c>
      <c r="P26" s="170">
        <f>Model!P$136+Model!P$137</f>
        <v>-1662.5</v>
      </c>
      <c r="Q26" s="170">
        <f>Model!Q$136+Model!Q$137</f>
        <v>-1662.5</v>
      </c>
      <c r="R26" s="170">
        <f>Model!R$136+Model!R$137</f>
        <v>-1662.5</v>
      </c>
      <c r="S26" s="170">
        <f>Model!S$136+Model!S$137</f>
        <v>-1662.5</v>
      </c>
      <c r="T26" s="170">
        <f>Model!T$136+Model!T$137</f>
        <v>-1662.5</v>
      </c>
      <c r="U26" s="170">
        <f>Model!U$136+Model!U$137</f>
        <v>-1662.5</v>
      </c>
      <c r="V26" s="170">
        <f>Model!V$136+Model!V$137</f>
        <v>-1662.5</v>
      </c>
      <c r="W26" s="170">
        <f>Model!W$136+Model!W$137</f>
        <v>-1662.5</v>
      </c>
      <c r="X26" s="170">
        <f>Model!X$136+Model!X$137</f>
        <v>-1662.5</v>
      </c>
      <c r="Y26" s="170">
        <f>Model!Y$136+Model!Y$137</f>
        <v>-1662.5</v>
      </c>
      <c r="Z26" s="170">
        <f>Model!Z$136+Model!Z$137</f>
        <v>-1662.5</v>
      </c>
      <c r="AA26" s="170">
        <f>Model!AA$136+Model!AA$137</f>
        <v>-1662.5</v>
      </c>
      <c r="AB26" s="170">
        <f>Model!AB$136+Model!AB$137</f>
        <v>-1662.5</v>
      </c>
      <c r="AC26" s="170">
        <f>Model!AC$136+Model!AC$137</f>
        <v>-1662.5</v>
      </c>
      <c r="AD26" s="170">
        <f>Model!AD$136+Model!AD$137</f>
        <v>-1662.5</v>
      </c>
      <c r="AE26" s="170">
        <f>Model!AE$136+Model!AE$137</f>
        <v>-1662.5</v>
      </c>
      <c r="AF26" s="170">
        <f>Model!AF$136+Model!AF$137</f>
        <v>-1662.5</v>
      </c>
      <c r="AG26" s="170">
        <f>Model!AG$136+Model!AG$137</f>
        <v>-1662.5</v>
      </c>
      <c r="AH26" s="170">
        <f>Model!AH$136+Model!AH$137</f>
        <v>-1662.5</v>
      </c>
      <c r="AI26" s="170">
        <f>Model!AI$136+Model!AI$137</f>
        <v>-1662.5</v>
      </c>
      <c r="AJ26" s="170">
        <f>Model!AJ$136+Model!AJ$137</f>
        <v>-1662.5</v>
      </c>
      <c r="AK26" s="170">
        <f>Model!AK$136+Model!AK$137</f>
        <v>-1662.5</v>
      </c>
      <c r="AL26" s="170">
        <f>Model!AL$136+Model!AL$137</f>
        <v>-1662.5</v>
      </c>
      <c r="AM26" s="170">
        <f>Model!AM$136+Model!AM$137</f>
        <v>-1662.5</v>
      </c>
      <c r="AN26" s="170">
        <f>Model!AN$136+Model!AN$137</f>
        <v>-1662.5</v>
      </c>
      <c r="AO26" s="170">
        <f>Model!AO$136+Model!AO$137</f>
        <v>-1662.5</v>
      </c>
      <c r="AP26" s="170">
        <f>Model!AP$136+Model!AP$137</f>
        <v>-1662.5</v>
      </c>
      <c r="AQ26" s="170">
        <f>Model!AQ$136+Model!AQ$137</f>
        <v>-1662.5</v>
      </c>
      <c r="AR26" s="170">
        <f>Model!AR$136+Model!AR$137</f>
        <v>-1662.5</v>
      </c>
      <c r="AS26" s="170">
        <f>Model!AS$136+Model!AS$137</f>
        <v>-1662.5</v>
      </c>
      <c r="AT26" s="170">
        <f>Model!AT$136+Model!AT$137</f>
        <v>-1662.5</v>
      </c>
      <c r="AU26" s="170">
        <f>Model!AU$136+Model!AU$137</f>
        <v>-1662.5</v>
      </c>
      <c r="AV26" s="170">
        <f>Model!AV$136+Model!AV$137</f>
        <v>-1662.5</v>
      </c>
      <c r="AW26" s="170">
        <f>Model!AW$136+Model!AW$137</f>
        <v>-1662.5</v>
      </c>
      <c r="AX26" s="170">
        <f>Model!AX$136+Model!AX$137</f>
        <v>-1662.5</v>
      </c>
      <c r="AY26" s="170">
        <f>Model!AY$136+Model!AY$137</f>
        <v>-1662.5</v>
      </c>
      <c r="AZ26" s="170">
        <f>Model!AZ$136+Model!AZ$137</f>
        <v>-1662.5</v>
      </c>
      <c r="BA26" s="170">
        <f>Model!BA$136+Model!BA$137</f>
        <v>-1662.5</v>
      </c>
      <c r="BB26" s="170">
        <f>Model!BB$136+Model!BB$137</f>
        <v>-1662.5</v>
      </c>
      <c r="BC26" s="170">
        <f>Model!BC$136+Model!BC$137</f>
        <v>-1662.5</v>
      </c>
      <c r="BD26" s="170">
        <f>Model!BD$136+Model!BD$137</f>
        <v>-1662.5</v>
      </c>
      <c r="BE26" s="170">
        <f>Model!BE$136+Model!BE$137</f>
        <v>-1662.5</v>
      </c>
      <c r="BF26" s="170">
        <f>Model!BF$136+Model!BF$137</f>
        <v>-1662.5</v>
      </c>
      <c r="BG26" s="170">
        <f>Model!BG$136+Model!BG$137</f>
        <v>-1662.5</v>
      </c>
      <c r="BH26" s="170">
        <f>Model!BH$136+Model!BH$137</f>
        <v>-1662.5</v>
      </c>
      <c r="BI26" s="170">
        <f>Model!BI$136+Model!BI$137</f>
        <v>-1662.5</v>
      </c>
      <c r="BJ26" s="170">
        <f>Model!BJ$136+Model!BJ$137</f>
        <v>-1662.5</v>
      </c>
      <c r="BK26" s="170">
        <f>Model!BK$136+Model!BK$137</f>
        <v>-1662.5</v>
      </c>
      <c r="BL26" s="170">
        <f>Model!BL$136+Model!BL$137</f>
        <v>-1662.5</v>
      </c>
      <c r="BM26" s="170">
        <f>Model!BM$136+Model!BM$137</f>
        <v>-1662.5</v>
      </c>
      <c r="BN26" s="170">
        <f>Model!BN$136+Model!BN$137</f>
        <v>-1662.5</v>
      </c>
      <c r="BO26" s="170">
        <f>Model!BO$136+Model!BO$137</f>
        <v>-1662.5</v>
      </c>
      <c r="BP26" s="170">
        <f>Model!BP$136+Model!BP$137</f>
        <v>-1662.5</v>
      </c>
      <c r="BQ26" s="170">
        <f>Model!BQ$136+Model!BQ$137</f>
        <v>-1662.5</v>
      </c>
      <c r="BR26" s="170">
        <f>Model!BR$136+Model!BR$137</f>
        <v>-1662.5</v>
      </c>
    </row>
    <row r="27">
      <c r="A27" s="170"/>
      <c r="B27" s="215" t="s">
        <v>242</v>
      </c>
      <c r="C27" s="236"/>
      <c r="D27" s="236"/>
      <c r="E27" s="170">
        <f t="shared" ref="E27:I27" si="15">SUMIFS($K27:$BR27,$K$2:$BR$2,E$2)</f>
        <v>0</v>
      </c>
      <c r="F27" s="170">
        <f t="shared" si="15"/>
        <v>0</v>
      </c>
      <c r="G27" s="170">
        <f t="shared" si="15"/>
        <v>0</v>
      </c>
      <c r="H27" s="170">
        <f t="shared" si="15"/>
        <v>0</v>
      </c>
      <c r="I27" s="170">
        <f t="shared" si="15"/>
        <v>0</v>
      </c>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row>
    <row r="28">
      <c r="A28" s="170"/>
      <c r="B28" s="215" t="s">
        <v>243</v>
      </c>
      <c r="C28" s="236"/>
      <c r="D28" s="236"/>
      <c r="E28" s="170">
        <f t="shared" ref="E28:I28" si="16">SUMIFS($K28:$BR28,$K$2:$BR$2,E$2)</f>
        <v>0</v>
      </c>
      <c r="F28" s="170">
        <f t="shared" si="16"/>
        <v>0</v>
      </c>
      <c r="G28" s="170">
        <f t="shared" si="16"/>
        <v>0</v>
      </c>
      <c r="H28" s="170">
        <f t="shared" si="16"/>
        <v>0</v>
      </c>
      <c r="I28" s="170">
        <f t="shared" si="16"/>
        <v>0</v>
      </c>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row>
    <row r="29">
      <c r="A29" s="170"/>
      <c r="B29" s="215" t="str">
        <f>Model!B138</f>
        <v>Distributions</v>
      </c>
      <c r="C29" s="236"/>
      <c r="D29" s="236"/>
      <c r="E29" s="170">
        <f t="shared" ref="E29:I29" si="17">SUMIFS($K29:$BR29,$K$2:$BR$2,E$2)</f>
        <v>0</v>
      </c>
      <c r="F29" s="170">
        <f t="shared" si="17"/>
        <v>0</v>
      </c>
      <c r="G29" s="170">
        <f t="shared" si="17"/>
        <v>0</v>
      </c>
      <c r="H29" s="170">
        <f t="shared" si="17"/>
        <v>0</v>
      </c>
      <c r="I29" s="170">
        <f t="shared" si="17"/>
        <v>0</v>
      </c>
      <c r="J29" s="170"/>
      <c r="K29" s="170">
        <f>Model!K$138</f>
        <v>0</v>
      </c>
      <c r="L29" s="170">
        <f>Model!L$138</f>
        <v>0</v>
      </c>
      <c r="M29" s="170">
        <f>Model!M$138</f>
        <v>0</v>
      </c>
      <c r="N29" s="170">
        <f>Model!N$138</f>
        <v>0</v>
      </c>
      <c r="O29" s="170">
        <f>Model!O$138</f>
        <v>0</v>
      </c>
      <c r="P29" s="170">
        <f>Model!P$138</f>
        <v>0</v>
      </c>
      <c r="Q29" s="170">
        <f>Model!Q$138</f>
        <v>0</v>
      </c>
      <c r="R29" s="170">
        <f>Model!R$138</f>
        <v>0</v>
      </c>
      <c r="S29" s="170">
        <f>Model!S$138</f>
        <v>0</v>
      </c>
      <c r="T29" s="170">
        <f>Model!T$138</f>
        <v>0</v>
      </c>
      <c r="U29" s="170">
        <f>Model!U$138</f>
        <v>0</v>
      </c>
      <c r="V29" s="170">
        <f>Model!V$138</f>
        <v>0</v>
      </c>
      <c r="W29" s="170">
        <f>Model!W$138</f>
        <v>0</v>
      </c>
      <c r="X29" s="170">
        <f>Model!X$138</f>
        <v>0</v>
      </c>
      <c r="Y29" s="170">
        <f>Model!Y$138</f>
        <v>0</v>
      </c>
      <c r="Z29" s="170">
        <f>Model!Z$138</f>
        <v>0</v>
      </c>
      <c r="AA29" s="170">
        <f>Model!AA$138</f>
        <v>0</v>
      </c>
      <c r="AB29" s="170">
        <f>Model!AB$138</f>
        <v>0</v>
      </c>
      <c r="AC29" s="170">
        <f>Model!AC$138</f>
        <v>0</v>
      </c>
      <c r="AD29" s="170">
        <f>Model!AD$138</f>
        <v>0</v>
      </c>
      <c r="AE29" s="170">
        <f>Model!AE$138</f>
        <v>0</v>
      </c>
      <c r="AF29" s="170">
        <f>Model!AF$138</f>
        <v>0</v>
      </c>
      <c r="AG29" s="170">
        <f>Model!AG$138</f>
        <v>0</v>
      </c>
      <c r="AH29" s="170">
        <f>Model!AH$138</f>
        <v>0</v>
      </c>
      <c r="AI29" s="170">
        <f>Model!AI$138</f>
        <v>0</v>
      </c>
      <c r="AJ29" s="170">
        <f>Model!AJ$138</f>
        <v>0</v>
      </c>
      <c r="AK29" s="170">
        <f>Model!AK$138</f>
        <v>0</v>
      </c>
      <c r="AL29" s="170">
        <f>Model!AL$138</f>
        <v>0</v>
      </c>
      <c r="AM29" s="170">
        <f>Model!AM$138</f>
        <v>0</v>
      </c>
      <c r="AN29" s="170">
        <f>Model!AN$138</f>
        <v>0</v>
      </c>
      <c r="AO29" s="170">
        <f>Model!AO$138</f>
        <v>0</v>
      </c>
      <c r="AP29" s="170">
        <f>Model!AP$138</f>
        <v>0</v>
      </c>
      <c r="AQ29" s="170">
        <f>Model!AQ$138</f>
        <v>0</v>
      </c>
      <c r="AR29" s="170">
        <f>Model!AR$138</f>
        <v>0</v>
      </c>
      <c r="AS29" s="170">
        <f>Model!AS$138</f>
        <v>0</v>
      </c>
      <c r="AT29" s="170">
        <f>Model!AT$138</f>
        <v>0</v>
      </c>
      <c r="AU29" s="170">
        <f>Model!AU$138</f>
        <v>0</v>
      </c>
      <c r="AV29" s="170">
        <f>Model!AV$138</f>
        <v>0</v>
      </c>
      <c r="AW29" s="170">
        <f>Model!AW$138</f>
        <v>0</v>
      </c>
      <c r="AX29" s="170">
        <f>Model!AX$138</f>
        <v>0</v>
      </c>
      <c r="AY29" s="170">
        <f>Model!AY$138</f>
        <v>0</v>
      </c>
      <c r="AZ29" s="170">
        <f>Model!AZ$138</f>
        <v>0</v>
      </c>
      <c r="BA29" s="170">
        <f>Model!BA$138</f>
        <v>0</v>
      </c>
      <c r="BB29" s="170">
        <f>Model!BB$138</f>
        <v>0</v>
      </c>
      <c r="BC29" s="170">
        <f>Model!BC$138</f>
        <v>0</v>
      </c>
      <c r="BD29" s="170">
        <f>Model!BD$138</f>
        <v>0</v>
      </c>
      <c r="BE29" s="170">
        <f>Model!BE$138</f>
        <v>0</v>
      </c>
      <c r="BF29" s="170">
        <f>Model!BF$138</f>
        <v>0</v>
      </c>
      <c r="BG29" s="170">
        <f>Model!BG$138</f>
        <v>0</v>
      </c>
      <c r="BH29" s="170">
        <f>Model!BH$138</f>
        <v>0</v>
      </c>
      <c r="BI29" s="170">
        <f>Model!BI$138</f>
        <v>0</v>
      </c>
      <c r="BJ29" s="170">
        <f>Model!BJ$138</f>
        <v>0</v>
      </c>
      <c r="BK29" s="170">
        <f>Model!BK$138</f>
        <v>0</v>
      </c>
      <c r="BL29" s="170">
        <f>Model!BL$138</f>
        <v>0</v>
      </c>
      <c r="BM29" s="170">
        <f>Model!BM$138</f>
        <v>0</v>
      </c>
      <c r="BN29" s="170">
        <f>Model!BN$138</f>
        <v>0</v>
      </c>
      <c r="BO29" s="170">
        <f>Model!BO$138</f>
        <v>0</v>
      </c>
      <c r="BP29" s="170">
        <f>Model!BP$138</f>
        <v>0</v>
      </c>
      <c r="BQ29" s="170">
        <f>Model!BQ$138</f>
        <v>0</v>
      </c>
      <c r="BR29" s="170">
        <f>Model!BR$138</f>
        <v>0</v>
      </c>
    </row>
    <row r="30">
      <c r="A30" s="170"/>
      <c r="B30" s="215" t="str">
        <f>Model!B139</f>
        <v>Equity issuance</v>
      </c>
      <c r="C30" s="236"/>
      <c r="D30" s="236"/>
      <c r="E30" s="170">
        <f t="shared" ref="E30:I30" si="18">SUMIFS($K30:$BR30,$K$2:$BR$2,E$2)</f>
        <v>59850</v>
      </c>
      <c r="F30" s="170">
        <f t="shared" si="18"/>
        <v>0</v>
      </c>
      <c r="G30" s="170">
        <f t="shared" si="18"/>
        <v>0</v>
      </c>
      <c r="H30" s="170">
        <f t="shared" si="18"/>
        <v>0</v>
      </c>
      <c r="I30" s="170">
        <f t="shared" si="18"/>
        <v>0</v>
      </c>
      <c r="J30" s="170"/>
      <c r="K30" s="170">
        <f>Model!K$139</f>
        <v>59850</v>
      </c>
      <c r="L30" s="170" t="str">
        <f>Model!L$139</f>
        <v/>
      </c>
      <c r="M30" s="170" t="str">
        <f>Model!M$139</f>
        <v/>
      </c>
      <c r="N30" s="170" t="str">
        <f>Model!N$139</f>
        <v/>
      </c>
      <c r="O30" s="170" t="str">
        <f>Model!O$139</f>
        <v/>
      </c>
      <c r="P30" s="170" t="str">
        <f>Model!P$139</f>
        <v/>
      </c>
      <c r="Q30" s="170" t="str">
        <f>Model!Q$139</f>
        <v/>
      </c>
      <c r="R30" s="170" t="str">
        <f>Model!R$139</f>
        <v/>
      </c>
      <c r="S30" s="170" t="str">
        <f>Model!S$139</f>
        <v/>
      </c>
      <c r="T30" s="170" t="str">
        <f>Model!T$139</f>
        <v/>
      </c>
      <c r="U30" s="170" t="str">
        <f>Model!U$139</f>
        <v/>
      </c>
      <c r="V30" s="170" t="str">
        <f>Model!V$139</f>
        <v/>
      </c>
      <c r="W30" s="170" t="str">
        <f>Model!W$139</f>
        <v/>
      </c>
      <c r="X30" s="170" t="str">
        <f>Model!X$139</f>
        <v/>
      </c>
      <c r="Y30" s="170" t="str">
        <f>Model!Y$139</f>
        <v/>
      </c>
      <c r="Z30" s="170" t="str">
        <f>Model!Z$139</f>
        <v/>
      </c>
      <c r="AA30" s="170" t="str">
        <f>Model!AA$139</f>
        <v/>
      </c>
      <c r="AB30" s="170" t="str">
        <f>Model!AB$139</f>
        <v/>
      </c>
      <c r="AC30" s="170" t="str">
        <f>Model!AC$139</f>
        <v/>
      </c>
      <c r="AD30" s="170" t="str">
        <f>Model!AD$139</f>
        <v/>
      </c>
      <c r="AE30" s="170" t="str">
        <f>Model!AE$139</f>
        <v/>
      </c>
      <c r="AF30" s="170" t="str">
        <f>Model!AF$139</f>
        <v/>
      </c>
      <c r="AG30" s="170" t="str">
        <f>Model!AG$139</f>
        <v/>
      </c>
      <c r="AH30" s="170" t="str">
        <f>Model!AH$139</f>
        <v/>
      </c>
      <c r="AI30" s="170" t="str">
        <f>Model!AI$139</f>
        <v/>
      </c>
      <c r="AJ30" s="170" t="str">
        <f>Model!AJ$139</f>
        <v/>
      </c>
      <c r="AK30" s="170" t="str">
        <f>Model!AK$139</f>
        <v/>
      </c>
      <c r="AL30" s="170" t="str">
        <f>Model!AL$139</f>
        <v/>
      </c>
      <c r="AM30" s="170" t="str">
        <f>Model!AM$139</f>
        <v/>
      </c>
      <c r="AN30" s="170" t="str">
        <f>Model!AN$139</f>
        <v/>
      </c>
      <c r="AO30" s="170" t="str">
        <f>Model!AO$139</f>
        <v/>
      </c>
      <c r="AP30" s="170" t="str">
        <f>Model!AP$139</f>
        <v/>
      </c>
      <c r="AQ30" s="170" t="str">
        <f>Model!AQ$139</f>
        <v/>
      </c>
      <c r="AR30" s="170" t="str">
        <f>Model!AR$139</f>
        <v/>
      </c>
      <c r="AS30" s="170" t="str">
        <f>Model!AS$139</f>
        <v/>
      </c>
      <c r="AT30" s="170" t="str">
        <f>Model!AT$139</f>
        <v/>
      </c>
      <c r="AU30" s="170" t="str">
        <f>Model!AU$139</f>
        <v/>
      </c>
      <c r="AV30" s="170" t="str">
        <f>Model!AV$139</f>
        <v/>
      </c>
      <c r="AW30" s="170" t="str">
        <f>Model!AW$139</f>
        <v/>
      </c>
      <c r="AX30" s="170" t="str">
        <f>Model!AX$139</f>
        <v/>
      </c>
      <c r="AY30" s="170" t="str">
        <f>Model!AY$139</f>
        <v/>
      </c>
      <c r="AZ30" s="170" t="str">
        <f>Model!AZ$139</f>
        <v/>
      </c>
      <c r="BA30" s="170" t="str">
        <f>Model!BA$139</f>
        <v/>
      </c>
      <c r="BB30" s="170" t="str">
        <f>Model!BB$139</f>
        <v/>
      </c>
      <c r="BC30" s="170" t="str">
        <f>Model!BC$139</f>
        <v/>
      </c>
      <c r="BD30" s="170" t="str">
        <f>Model!BD$139</f>
        <v/>
      </c>
      <c r="BE30" s="170" t="str">
        <f>Model!BE$139</f>
        <v/>
      </c>
      <c r="BF30" s="170" t="str">
        <f>Model!BF$139</f>
        <v/>
      </c>
      <c r="BG30" s="170" t="str">
        <f>Model!BG$139</f>
        <v/>
      </c>
      <c r="BH30" s="170" t="str">
        <f>Model!BH$139</f>
        <v/>
      </c>
      <c r="BI30" s="170" t="str">
        <f>Model!BI$139</f>
        <v/>
      </c>
      <c r="BJ30" s="170" t="str">
        <f>Model!BJ$139</f>
        <v/>
      </c>
      <c r="BK30" s="170" t="str">
        <f>Model!BK$139</f>
        <v/>
      </c>
      <c r="BL30" s="170" t="str">
        <f>Model!BL$139</f>
        <v/>
      </c>
      <c r="BM30" s="170" t="str">
        <f>Model!BM$139</f>
        <v/>
      </c>
      <c r="BN30" s="170" t="str">
        <f>Model!BN$139</f>
        <v/>
      </c>
      <c r="BO30" s="170" t="str">
        <f>Model!BO$139</f>
        <v/>
      </c>
      <c r="BP30" s="170" t="str">
        <f>Model!BP$139</f>
        <v/>
      </c>
      <c r="BQ30" s="170" t="str">
        <f>Model!BQ$139</f>
        <v/>
      </c>
      <c r="BR30" s="170" t="str">
        <f>Model!BR$139</f>
        <v/>
      </c>
    </row>
    <row r="31" ht="12.75" customHeight="1">
      <c r="A31" s="170"/>
      <c r="B31" s="237"/>
      <c r="C31" s="235"/>
      <c r="D31" s="235"/>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row>
    <row r="32">
      <c r="A32" s="170"/>
      <c r="B32" s="234" t="s">
        <v>244</v>
      </c>
      <c r="C32" s="236"/>
      <c r="D32" s="236"/>
      <c r="E32" s="170">
        <f t="shared" ref="E32:I32" si="19">SUM(E26:E31)</f>
        <v>279300</v>
      </c>
      <c r="F32" s="170">
        <f t="shared" si="19"/>
        <v>-19950</v>
      </c>
      <c r="G32" s="170">
        <f t="shared" si="19"/>
        <v>-19950</v>
      </c>
      <c r="H32" s="170">
        <f t="shared" si="19"/>
        <v>-19950</v>
      </c>
      <c r="I32" s="170">
        <f t="shared" si="19"/>
        <v>-19950</v>
      </c>
      <c r="J32" s="170"/>
      <c r="K32" s="170">
        <f t="shared" ref="K32:BR32" si="20">SUM(K26:K31)</f>
        <v>297587.5</v>
      </c>
      <c r="L32" s="170">
        <f t="shared" si="20"/>
        <v>-1662.5</v>
      </c>
      <c r="M32" s="170">
        <f t="shared" si="20"/>
        <v>-1662.5</v>
      </c>
      <c r="N32" s="170">
        <f t="shared" si="20"/>
        <v>-1662.5</v>
      </c>
      <c r="O32" s="170">
        <f t="shared" si="20"/>
        <v>-1662.5</v>
      </c>
      <c r="P32" s="170">
        <f t="shared" si="20"/>
        <v>-1662.5</v>
      </c>
      <c r="Q32" s="170">
        <f t="shared" si="20"/>
        <v>-1662.5</v>
      </c>
      <c r="R32" s="170">
        <f t="shared" si="20"/>
        <v>-1662.5</v>
      </c>
      <c r="S32" s="170">
        <f t="shared" si="20"/>
        <v>-1662.5</v>
      </c>
      <c r="T32" s="170">
        <f t="shared" si="20"/>
        <v>-1662.5</v>
      </c>
      <c r="U32" s="170">
        <f t="shared" si="20"/>
        <v>-1662.5</v>
      </c>
      <c r="V32" s="170">
        <f t="shared" si="20"/>
        <v>-1662.5</v>
      </c>
      <c r="W32" s="170">
        <f t="shared" si="20"/>
        <v>-1662.5</v>
      </c>
      <c r="X32" s="170">
        <f t="shared" si="20"/>
        <v>-1662.5</v>
      </c>
      <c r="Y32" s="170">
        <f t="shared" si="20"/>
        <v>-1662.5</v>
      </c>
      <c r="Z32" s="170">
        <f t="shared" si="20"/>
        <v>-1662.5</v>
      </c>
      <c r="AA32" s="170">
        <f t="shared" si="20"/>
        <v>-1662.5</v>
      </c>
      <c r="AB32" s="170">
        <f t="shared" si="20"/>
        <v>-1662.5</v>
      </c>
      <c r="AC32" s="170">
        <f t="shared" si="20"/>
        <v>-1662.5</v>
      </c>
      <c r="AD32" s="170">
        <f t="shared" si="20"/>
        <v>-1662.5</v>
      </c>
      <c r="AE32" s="170">
        <f t="shared" si="20"/>
        <v>-1662.5</v>
      </c>
      <c r="AF32" s="170">
        <f t="shared" si="20"/>
        <v>-1662.5</v>
      </c>
      <c r="AG32" s="170">
        <f t="shared" si="20"/>
        <v>-1662.5</v>
      </c>
      <c r="AH32" s="170">
        <f t="shared" si="20"/>
        <v>-1662.5</v>
      </c>
      <c r="AI32" s="170">
        <f t="shared" si="20"/>
        <v>-1662.5</v>
      </c>
      <c r="AJ32" s="170">
        <f t="shared" si="20"/>
        <v>-1662.5</v>
      </c>
      <c r="AK32" s="170">
        <f t="shared" si="20"/>
        <v>-1662.5</v>
      </c>
      <c r="AL32" s="170">
        <f t="shared" si="20"/>
        <v>-1662.5</v>
      </c>
      <c r="AM32" s="170">
        <f t="shared" si="20"/>
        <v>-1662.5</v>
      </c>
      <c r="AN32" s="170">
        <f t="shared" si="20"/>
        <v>-1662.5</v>
      </c>
      <c r="AO32" s="170">
        <f t="shared" si="20"/>
        <v>-1662.5</v>
      </c>
      <c r="AP32" s="170">
        <f t="shared" si="20"/>
        <v>-1662.5</v>
      </c>
      <c r="AQ32" s="170">
        <f t="shared" si="20"/>
        <v>-1662.5</v>
      </c>
      <c r="AR32" s="170">
        <f t="shared" si="20"/>
        <v>-1662.5</v>
      </c>
      <c r="AS32" s="170">
        <f t="shared" si="20"/>
        <v>-1662.5</v>
      </c>
      <c r="AT32" s="170">
        <f t="shared" si="20"/>
        <v>-1662.5</v>
      </c>
      <c r="AU32" s="170">
        <f t="shared" si="20"/>
        <v>-1662.5</v>
      </c>
      <c r="AV32" s="170">
        <f t="shared" si="20"/>
        <v>-1662.5</v>
      </c>
      <c r="AW32" s="170">
        <f t="shared" si="20"/>
        <v>-1662.5</v>
      </c>
      <c r="AX32" s="170">
        <f t="shared" si="20"/>
        <v>-1662.5</v>
      </c>
      <c r="AY32" s="170">
        <f t="shared" si="20"/>
        <v>-1662.5</v>
      </c>
      <c r="AZ32" s="170">
        <f t="shared" si="20"/>
        <v>-1662.5</v>
      </c>
      <c r="BA32" s="170">
        <f t="shared" si="20"/>
        <v>-1662.5</v>
      </c>
      <c r="BB32" s="170">
        <f t="shared" si="20"/>
        <v>-1662.5</v>
      </c>
      <c r="BC32" s="170">
        <f t="shared" si="20"/>
        <v>-1662.5</v>
      </c>
      <c r="BD32" s="170">
        <f t="shared" si="20"/>
        <v>-1662.5</v>
      </c>
      <c r="BE32" s="170">
        <f t="shared" si="20"/>
        <v>-1662.5</v>
      </c>
      <c r="BF32" s="170">
        <f t="shared" si="20"/>
        <v>-1662.5</v>
      </c>
      <c r="BG32" s="170">
        <f t="shared" si="20"/>
        <v>-1662.5</v>
      </c>
      <c r="BH32" s="170">
        <f t="shared" si="20"/>
        <v>-1662.5</v>
      </c>
      <c r="BI32" s="170">
        <f t="shared" si="20"/>
        <v>-1662.5</v>
      </c>
      <c r="BJ32" s="170">
        <f t="shared" si="20"/>
        <v>-1662.5</v>
      </c>
      <c r="BK32" s="170">
        <f t="shared" si="20"/>
        <v>-1662.5</v>
      </c>
      <c r="BL32" s="170">
        <f t="shared" si="20"/>
        <v>-1662.5</v>
      </c>
      <c r="BM32" s="170">
        <f t="shared" si="20"/>
        <v>-1662.5</v>
      </c>
      <c r="BN32" s="170">
        <f t="shared" si="20"/>
        <v>-1662.5</v>
      </c>
      <c r="BO32" s="170">
        <f t="shared" si="20"/>
        <v>-1662.5</v>
      </c>
      <c r="BP32" s="170">
        <f t="shared" si="20"/>
        <v>-1662.5</v>
      </c>
      <c r="BQ32" s="170">
        <f t="shared" si="20"/>
        <v>-1662.5</v>
      </c>
      <c r="BR32" s="170">
        <f t="shared" si="20"/>
        <v>-1662.5</v>
      </c>
    </row>
    <row r="33">
      <c r="A33" s="170"/>
      <c r="B33" s="215"/>
      <c r="C33" s="235"/>
      <c r="D33" s="235"/>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row>
    <row r="34">
      <c r="A34" s="170"/>
      <c r="B34" s="234" t="s">
        <v>245</v>
      </c>
      <c r="C34" s="238"/>
      <c r="D34" s="238"/>
      <c r="E34" s="170">
        <f t="shared" ref="E34:I34" si="21">E23+E32</f>
        <v>12088.4427</v>
      </c>
      <c r="F34" s="170">
        <f t="shared" si="21"/>
        <v>-6023.641312</v>
      </c>
      <c r="G34" s="170">
        <f t="shared" si="21"/>
        <v>29252.15808</v>
      </c>
      <c r="H34" s="170">
        <f t="shared" si="21"/>
        <v>41460.89433</v>
      </c>
      <c r="I34" s="170">
        <f t="shared" si="21"/>
        <v>52447.11529</v>
      </c>
      <c r="J34" s="170"/>
      <c r="K34" s="170">
        <f t="shared" ref="K34:BR34" si="22">K23+K32</f>
        <v>98240.2914</v>
      </c>
      <c r="L34" s="170">
        <f t="shared" si="22"/>
        <v>-12949.58872</v>
      </c>
      <c r="M34" s="170">
        <f t="shared" si="22"/>
        <v>-9593.89096</v>
      </c>
      <c r="N34" s="170">
        <f t="shared" si="22"/>
        <v>-10162.13838</v>
      </c>
      <c r="O34" s="170">
        <f t="shared" si="22"/>
        <v>-8259.117632</v>
      </c>
      <c r="P34" s="170">
        <f t="shared" si="22"/>
        <v>-8292.185955</v>
      </c>
      <c r="Q34" s="170">
        <f t="shared" si="22"/>
        <v>-10285.51635</v>
      </c>
      <c r="R34" s="170">
        <f t="shared" si="22"/>
        <v>-4461.971461</v>
      </c>
      <c r="S34" s="170">
        <f t="shared" si="22"/>
        <v>-7376.124707</v>
      </c>
      <c r="T34" s="170">
        <f t="shared" si="22"/>
        <v>-4922.184309</v>
      </c>
      <c r="U34" s="170">
        <f t="shared" si="22"/>
        <v>-6261.71924</v>
      </c>
      <c r="V34" s="170">
        <f t="shared" si="22"/>
        <v>-3587.410981</v>
      </c>
      <c r="W34" s="170">
        <f t="shared" si="22"/>
        <v>-3789.86329</v>
      </c>
      <c r="X34" s="170">
        <f t="shared" si="22"/>
        <v>-4356.772758</v>
      </c>
      <c r="Y34" s="170">
        <f t="shared" si="22"/>
        <v>-1334.834198</v>
      </c>
      <c r="Z34" s="170">
        <f t="shared" si="22"/>
        <v>-3208.210272</v>
      </c>
      <c r="AA34" s="170">
        <f t="shared" si="22"/>
        <v>34.09614978</v>
      </c>
      <c r="AB34" s="170">
        <f t="shared" si="22"/>
        <v>-642.9972488</v>
      </c>
      <c r="AC34" s="170">
        <f t="shared" si="22"/>
        <v>-3853.044328</v>
      </c>
      <c r="AD34" s="170">
        <f t="shared" si="22"/>
        <v>5535.280806</v>
      </c>
      <c r="AE34" s="170">
        <f t="shared" si="22"/>
        <v>-346.3136009</v>
      </c>
      <c r="AF34" s="170">
        <f t="shared" si="22"/>
        <v>2766.358741</v>
      </c>
      <c r="AG34" s="170">
        <f t="shared" si="22"/>
        <v>-3.75165268</v>
      </c>
      <c r="AH34" s="170">
        <f t="shared" si="22"/>
        <v>3176.41034</v>
      </c>
      <c r="AI34" s="170">
        <f t="shared" si="22"/>
        <v>1529.65295</v>
      </c>
      <c r="AJ34" s="170">
        <f t="shared" si="22"/>
        <v>154.0489669</v>
      </c>
      <c r="AK34" s="170">
        <f t="shared" si="22"/>
        <v>3389.332127</v>
      </c>
      <c r="AL34" s="170">
        <f t="shared" si="22"/>
        <v>453.9067237</v>
      </c>
      <c r="AM34" s="170">
        <f t="shared" si="22"/>
        <v>3743.092484</v>
      </c>
      <c r="AN34" s="170">
        <f t="shared" si="22"/>
        <v>2346.714037</v>
      </c>
      <c r="AO34" s="170">
        <f t="shared" si="22"/>
        <v>-2634.307783</v>
      </c>
      <c r="AP34" s="170">
        <f t="shared" si="22"/>
        <v>7830.470909</v>
      </c>
      <c r="AQ34" s="170">
        <f t="shared" si="22"/>
        <v>1223.542835</v>
      </c>
      <c r="AR34" s="170">
        <f t="shared" si="22"/>
        <v>4651.464967</v>
      </c>
      <c r="AS34" s="170">
        <f t="shared" si="22"/>
        <v>1539.595554</v>
      </c>
      <c r="AT34" s="170">
        <f t="shared" si="22"/>
        <v>5024.644312</v>
      </c>
      <c r="AU34" s="170">
        <f t="shared" si="22"/>
        <v>2645.438061</v>
      </c>
      <c r="AV34" s="170">
        <f t="shared" si="22"/>
        <v>1097.871641</v>
      </c>
      <c r="AW34" s="170">
        <f t="shared" si="22"/>
        <v>4626.709259</v>
      </c>
      <c r="AX34" s="170">
        <f t="shared" si="22"/>
        <v>1366.398851</v>
      </c>
      <c r="AY34" s="170">
        <f t="shared" si="22"/>
        <v>4942.249869</v>
      </c>
      <c r="AZ34" s="170">
        <f t="shared" si="22"/>
        <v>3375.544602</v>
      </c>
      <c r="BA34" s="170">
        <f t="shared" si="22"/>
        <v>-94.40996908</v>
      </c>
      <c r="BB34" s="170">
        <f t="shared" si="22"/>
        <v>7292.380611</v>
      </c>
      <c r="BC34" s="170">
        <f t="shared" si="22"/>
        <v>2051.824274</v>
      </c>
      <c r="BD34" s="170">
        <f t="shared" si="22"/>
        <v>5747.97882</v>
      </c>
      <c r="BE34" s="170">
        <f t="shared" si="22"/>
        <v>2331.751016</v>
      </c>
      <c r="BF34" s="170">
        <f t="shared" si="22"/>
        <v>6077.157291</v>
      </c>
      <c r="BG34" s="170">
        <f t="shared" si="22"/>
        <v>3500.397657</v>
      </c>
      <c r="BH34" s="170">
        <f t="shared" si="22"/>
        <v>1823.176604</v>
      </c>
      <c r="BI34" s="170">
        <f t="shared" si="22"/>
        <v>5643.69862</v>
      </c>
      <c r="BJ34" s="170">
        <f t="shared" si="22"/>
        <v>2111.576672</v>
      </c>
      <c r="BK34" s="170">
        <f t="shared" si="22"/>
        <v>5983.014178</v>
      </c>
      <c r="BL34" s="170">
        <f t="shared" si="22"/>
        <v>4285.065764</v>
      </c>
      <c r="BM34" s="170">
        <f t="shared" si="22"/>
        <v>-1643.525241</v>
      </c>
      <c r="BN34" s="170">
        <f t="shared" si="22"/>
        <v>10694.00699</v>
      </c>
      <c r="BO34" s="170">
        <f t="shared" si="22"/>
        <v>2847.85515</v>
      </c>
      <c r="BP34" s="170">
        <f t="shared" si="22"/>
        <v>6849.581317</v>
      </c>
      <c r="BQ34" s="170">
        <f t="shared" si="22"/>
        <v>3148.600907</v>
      </c>
      <c r="BR34" s="170">
        <f t="shared" si="22"/>
        <v>7203.666672</v>
      </c>
    </row>
    <row r="35">
      <c r="A35" s="170"/>
      <c r="B35" s="234"/>
      <c r="C35" s="179"/>
      <c r="D35" s="179"/>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row>
    <row r="36">
      <c r="A36" s="170"/>
      <c r="B36" s="215" t="s">
        <v>246</v>
      </c>
      <c r="C36" s="179"/>
      <c r="D36" s="179"/>
      <c r="E36" s="170" t="str">
        <f>K36</f>
        <v/>
      </c>
      <c r="F36" s="170">
        <f t="shared" ref="F36:I36" si="23">E38</f>
        <v>12088.4427</v>
      </c>
      <c r="G36" s="170">
        <f t="shared" si="23"/>
        <v>6064.801389</v>
      </c>
      <c r="H36" s="170">
        <f t="shared" si="23"/>
        <v>35316.95947</v>
      </c>
      <c r="I36" s="170">
        <f t="shared" si="23"/>
        <v>76777.85379</v>
      </c>
      <c r="J36" s="170"/>
      <c r="K36" s="170" t="str">
        <f t="shared" ref="K36:BR36" si="24">J38</f>
        <v/>
      </c>
      <c r="L36" s="170">
        <f t="shared" si="24"/>
        <v>98240.2914</v>
      </c>
      <c r="M36" s="170">
        <f t="shared" si="24"/>
        <v>85290.70267</v>
      </c>
      <c r="N36" s="170">
        <f t="shared" si="24"/>
        <v>75696.81171</v>
      </c>
      <c r="O36" s="170">
        <f t="shared" si="24"/>
        <v>65534.67334</v>
      </c>
      <c r="P36" s="170">
        <f t="shared" si="24"/>
        <v>57275.55571</v>
      </c>
      <c r="Q36" s="170">
        <f t="shared" si="24"/>
        <v>48983.36975</v>
      </c>
      <c r="R36" s="170">
        <f t="shared" si="24"/>
        <v>38697.8534</v>
      </c>
      <c r="S36" s="170">
        <f t="shared" si="24"/>
        <v>34235.88194</v>
      </c>
      <c r="T36" s="170">
        <f t="shared" si="24"/>
        <v>26859.75723</v>
      </c>
      <c r="U36" s="170">
        <f t="shared" si="24"/>
        <v>21937.57292</v>
      </c>
      <c r="V36" s="170">
        <f t="shared" si="24"/>
        <v>15675.85368</v>
      </c>
      <c r="W36" s="170">
        <f t="shared" si="24"/>
        <v>12088.4427</v>
      </c>
      <c r="X36" s="170">
        <f t="shared" si="24"/>
        <v>8298.57941</v>
      </c>
      <c r="Y36" s="170">
        <f t="shared" si="24"/>
        <v>3941.806652</v>
      </c>
      <c r="Z36" s="170">
        <f t="shared" si="24"/>
        <v>2606.972454</v>
      </c>
      <c r="AA36" s="170">
        <f t="shared" si="24"/>
        <v>-601.2378181</v>
      </c>
      <c r="AB36" s="170">
        <f t="shared" si="24"/>
        <v>-567.1416684</v>
      </c>
      <c r="AC36" s="170">
        <f t="shared" si="24"/>
        <v>-1210.138917</v>
      </c>
      <c r="AD36" s="170">
        <f t="shared" si="24"/>
        <v>-5063.183245</v>
      </c>
      <c r="AE36" s="170">
        <f t="shared" si="24"/>
        <v>472.0975615</v>
      </c>
      <c r="AF36" s="170">
        <f t="shared" si="24"/>
        <v>125.7839606</v>
      </c>
      <c r="AG36" s="170">
        <f t="shared" si="24"/>
        <v>2892.142701</v>
      </c>
      <c r="AH36" s="170">
        <f t="shared" si="24"/>
        <v>2888.391049</v>
      </c>
      <c r="AI36" s="170">
        <f t="shared" si="24"/>
        <v>6064.801389</v>
      </c>
      <c r="AJ36" s="170">
        <f t="shared" si="24"/>
        <v>7594.454339</v>
      </c>
      <c r="AK36" s="170">
        <f t="shared" si="24"/>
        <v>7748.503306</v>
      </c>
      <c r="AL36" s="170">
        <f t="shared" si="24"/>
        <v>11137.83543</v>
      </c>
      <c r="AM36" s="170">
        <f t="shared" si="24"/>
        <v>11591.74216</v>
      </c>
      <c r="AN36" s="170">
        <f t="shared" si="24"/>
        <v>15334.83464</v>
      </c>
      <c r="AO36" s="170">
        <f t="shared" si="24"/>
        <v>17681.54868</v>
      </c>
      <c r="AP36" s="170">
        <f t="shared" si="24"/>
        <v>15047.24089</v>
      </c>
      <c r="AQ36" s="170">
        <f t="shared" si="24"/>
        <v>22877.7118</v>
      </c>
      <c r="AR36" s="170">
        <f t="shared" si="24"/>
        <v>24101.25464</v>
      </c>
      <c r="AS36" s="170">
        <f t="shared" si="24"/>
        <v>28752.7196</v>
      </c>
      <c r="AT36" s="170">
        <f t="shared" si="24"/>
        <v>30292.31516</v>
      </c>
      <c r="AU36" s="170">
        <f t="shared" si="24"/>
        <v>35316.95947</v>
      </c>
      <c r="AV36" s="170">
        <f t="shared" si="24"/>
        <v>37962.39753</v>
      </c>
      <c r="AW36" s="170">
        <f t="shared" si="24"/>
        <v>39060.26917</v>
      </c>
      <c r="AX36" s="170">
        <f t="shared" si="24"/>
        <v>43686.97843</v>
      </c>
      <c r="AY36" s="170">
        <f t="shared" si="24"/>
        <v>45053.37728</v>
      </c>
      <c r="AZ36" s="170">
        <f t="shared" si="24"/>
        <v>49995.62715</v>
      </c>
      <c r="BA36" s="170">
        <f t="shared" si="24"/>
        <v>53371.17175</v>
      </c>
      <c r="BB36" s="170">
        <f t="shared" si="24"/>
        <v>53276.76178</v>
      </c>
      <c r="BC36" s="170">
        <f t="shared" si="24"/>
        <v>60569.14239</v>
      </c>
      <c r="BD36" s="170">
        <f t="shared" si="24"/>
        <v>62620.96667</v>
      </c>
      <c r="BE36" s="170">
        <f t="shared" si="24"/>
        <v>68368.94549</v>
      </c>
      <c r="BF36" s="170">
        <f t="shared" si="24"/>
        <v>70700.6965</v>
      </c>
      <c r="BG36" s="170">
        <f t="shared" si="24"/>
        <v>76777.85379</v>
      </c>
      <c r="BH36" s="170">
        <f t="shared" si="24"/>
        <v>80278.25145</v>
      </c>
      <c r="BI36" s="170">
        <f t="shared" si="24"/>
        <v>82101.42806</v>
      </c>
      <c r="BJ36" s="170">
        <f t="shared" si="24"/>
        <v>87745.12668</v>
      </c>
      <c r="BK36" s="170">
        <f t="shared" si="24"/>
        <v>89856.70335</v>
      </c>
      <c r="BL36" s="170">
        <f t="shared" si="24"/>
        <v>95839.71753</v>
      </c>
      <c r="BM36" s="170">
        <f t="shared" si="24"/>
        <v>100124.7833</v>
      </c>
      <c r="BN36" s="170">
        <f t="shared" si="24"/>
        <v>98481.25805</v>
      </c>
      <c r="BO36" s="170">
        <f t="shared" si="24"/>
        <v>109175.265</v>
      </c>
      <c r="BP36" s="170">
        <f t="shared" si="24"/>
        <v>112023.1202</v>
      </c>
      <c r="BQ36" s="170">
        <f t="shared" si="24"/>
        <v>118872.7015</v>
      </c>
      <c r="BR36" s="170">
        <f t="shared" si="24"/>
        <v>122021.3024</v>
      </c>
    </row>
    <row r="37">
      <c r="A37" s="170"/>
      <c r="B37" s="215"/>
      <c r="C37" s="179"/>
      <c r="D37" s="179"/>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row>
    <row r="38">
      <c r="A38" s="170"/>
      <c r="B38" s="215" t="s">
        <v>247</v>
      </c>
      <c r="C38" s="175"/>
      <c r="D38" s="175"/>
      <c r="E38" s="218">
        <f t="shared" ref="E38:I38" si="25">E36+E34</f>
        <v>12088.4427</v>
      </c>
      <c r="F38" s="218">
        <f t="shared" si="25"/>
        <v>6064.801389</v>
      </c>
      <c r="G38" s="218">
        <f t="shared" si="25"/>
        <v>35316.95947</v>
      </c>
      <c r="H38" s="218">
        <f t="shared" si="25"/>
        <v>76777.85379</v>
      </c>
      <c r="I38" s="218">
        <f t="shared" si="25"/>
        <v>129224.9691</v>
      </c>
      <c r="J38" s="170"/>
      <c r="K38" s="218">
        <f t="shared" ref="K38:BR38" si="26">K36+K34</f>
        <v>98240.2914</v>
      </c>
      <c r="L38" s="218">
        <f t="shared" si="26"/>
        <v>85290.70267</v>
      </c>
      <c r="M38" s="218">
        <f t="shared" si="26"/>
        <v>75696.81171</v>
      </c>
      <c r="N38" s="218">
        <f t="shared" si="26"/>
        <v>65534.67334</v>
      </c>
      <c r="O38" s="218">
        <f t="shared" si="26"/>
        <v>57275.55571</v>
      </c>
      <c r="P38" s="218">
        <f t="shared" si="26"/>
        <v>48983.36975</v>
      </c>
      <c r="Q38" s="218">
        <f t="shared" si="26"/>
        <v>38697.8534</v>
      </c>
      <c r="R38" s="218">
        <f t="shared" si="26"/>
        <v>34235.88194</v>
      </c>
      <c r="S38" s="218">
        <f t="shared" si="26"/>
        <v>26859.75723</v>
      </c>
      <c r="T38" s="218">
        <f t="shared" si="26"/>
        <v>21937.57292</v>
      </c>
      <c r="U38" s="218">
        <f t="shared" si="26"/>
        <v>15675.85368</v>
      </c>
      <c r="V38" s="218">
        <f t="shared" si="26"/>
        <v>12088.4427</v>
      </c>
      <c r="W38" s="218">
        <f t="shared" si="26"/>
        <v>8298.57941</v>
      </c>
      <c r="X38" s="218">
        <f t="shared" si="26"/>
        <v>3941.806652</v>
      </c>
      <c r="Y38" s="218">
        <f t="shared" si="26"/>
        <v>2606.972454</v>
      </c>
      <c r="Z38" s="218">
        <f t="shared" si="26"/>
        <v>-601.2378181</v>
      </c>
      <c r="AA38" s="218">
        <f t="shared" si="26"/>
        <v>-567.1416684</v>
      </c>
      <c r="AB38" s="218">
        <f t="shared" si="26"/>
        <v>-1210.138917</v>
      </c>
      <c r="AC38" s="218">
        <f t="shared" si="26"/>
        <v>-5063.183245</v>
      </c>
      <c r="AD38" s="218">
        <f t="shared" si="26"/>
        <v>472.0975615</v>
      </c>
      <c r="AE38" s="218">
        <f t="shared" si="26"/>
        <v>125.7839606</v>
      </c>
      <c r="AF38" s="218">
        <f t="shared" si="26"/>
        <v>2892.142701</v>
      </c>
      <c r="AG38" s="218">
        <f t="shared" si="26"/>
        <v>2888.391049</v>
      </c>
      <c r="AH38" s="218">
        <f t="shared" si="26"/>
        <v>6064.801389</v>
      </c>
      <c r="AI38" s="218">
        <f t="shared" si="26"/>
        <v>7594.454339</v>
      </c>
      <c r="AJ38" s="218">
        <f t="shared" si="26"/>
        <v>7748.503306</v>
      </c>
      <c r="AK38" s="218">
        <f t="shared" si="26"/>
        <v>11137.83543</v>
      </c>
      <c r="AL38" s="218">
        <f t="shared" si="26"/>
        <v>11591.74216</v>
      </c>
      <c r="AM38" s="218">
        <f t="shared" si="26"/>
        <v>15334.83464</v>
      </c>
      <c r="AN38" s="218">
        <f t="shared" si="26"/>
        <v>17681.54868</v>
      </c>
      <c r="AO38" s="218">
        <f t="shared" si="26"/>
        <v>15047.24089</v>
      </c>
      <c r="AP38" s="218">
        <f t="shared" si="26"/>
        <v>22877.7118</v>
      </c>
      <c r="AQ38" s="218">
        <f t="shared" si="26"/>
        <v>24101.25464</v>
      </c>
      <c r="AR38" s="218">
        <f t="shared" si="26"/>
        <v>28752.7196</v>
      </c>
      <c r="AS38" s="218">
        <f t="shared" si="26"/>
        <v>30292.31516</v>
      </c>
      <c r="AT38" s="218">
        <f t="shared" si="26"/>
        <v>35316.95947</v>
      </c>
      <c r="AU38" s="218">
        <f t="shared" si="26"/>
        <v>37962.39753</v>
      </c>
      <c r="AV38" s="218">
        <f t="shared" si="26"/>
        <v>39060.26917</v>
      </c>
      <c r="AW38" s="218">
        <f t="shared" si="26"/>
        <v>43686.97843</v>
      </c>
      <c r="AX38" s="218">
        <f t="shared" si="26"/>
        <v>45053.37728</v>
      </c>
      <c r="AY38" s="218">
        <f t="shared" si="26"/>
        <v>49995.62715</v>
      </c>
      <c r="AZ38" s="218">
        <f t="shared" si="26"/>
        <v>53371.17175</v>
      </c>
      <c r="BA38" s="218">
        <f t="shared" si="26"/>
        <v>53276.76178</v>
      </c>
      <c r="BB38" s="218">
        <f t="shared" si="26"/>
        <v>60569.14239</v>
      </c>
      <c r="BC38" s="218">
        <f t="shared" si="26"/>
        <v>62620.96667</v>
      </c>
      <c r="BD38" s="218">
        <f t="shared" si="26"/>
        <v>68368.94549</v>
      </c>
      <c r="BE38" s="218">
        <f t="shared" si="26"/>
        <v>70700.6965</v>
      </c>
      <c r="BF38" s="218">
        <f t="shared" si="26"/>
        <v>76777.85379</v>
      </c>
      <c r="BG38" s="218">
        <f t="shared" si="26"/>
        <v>80278.25145</v>
      </c>
      <c r="BH38" s="218">
        <f t="shared" si="26"/>
        <v>82101.42806</v>
      </c>
      <c r="BI38" s="218">
        <f t="shared" si="26"/>
        <v>87745.12668</v>
      </c>
      <c r="BJ38" s="218">
        <f t="shared" si="26"/>
        <v>89856.70335</v>
      </c>
      <c r="BK38" s="218">
        <f t="shared" si="26"/>
        <v>95839.71753</v>
      </c>
      <c r="BL38" s="218">
        <f t="shared" si="26"/>
        <v>100124.7833</v>
      </c>
      <c r="BM38" s="218">
        <f t="shared" si="26"/>
        <v>98481.25805</v>
      </c>
      <c r="BN38" s="218">
        <f t="shared" si="26"/>
        <v>109175.265</v>
      </c>
      <c r="BO38" s="218">
        <f t="shared" si="26"/>
        <v>112023.1202</v>
      </c>
      <c r="BP38" s="218">
        <f t="shared" si="26"/>
        <v>118872.7015</v>
      </c>
      <c r="BQ38" s="218">
        <f t="shared" si="26"/>
        <v>122021.3024</v>
      </c>
      <c r="BR38" s="218">
        <f t="shared" si="26"/>
        <v>129224.9691</v>
      </c>
    </row>
    <row r="39">
      <c r="A39" s="170"/>
      <c r="B39" s="239" t="s">
        <v>248</v>
      </c>
      <c r="C39" s="170"/>
      <c r="D39" s="170"/>
      <c r="E39" s="170">
        <f>ROUND(Model!E144-E38,0)</f>
        <v>0</v>
      </c>
      <c r="F39" s="170">
        <f>ROUND(Model!F144-F38,0)</f>
        <v>0</v>
      </c>
      <c r="G39" s="170">
        <f>ROUND(Model!G144-G38,0)</f>
        <v>0</v>
      </c>
      <c r="H39" s="170">
        <f>ROUND(Model!H144-H38,0)</f>
        <v>0</v>
      </c>
      <c r="I39" s="170">
        <f>ROUND(Model!I144-I38,0)</f>
        <v>0</v>
      </c>
      <c r="J39" s="170"/>
      <c r="K39" s="170">
        <f>ROUND(Model!K144-K38,0)</f>
        <v>0</v>
      </c>
      <c r="L39" s="170">
        <f>ROUND(Model!L144-L38,0)</f>
        <v>0</v>
      </c>
      <c r="M39" s="170">
        <f>ROUND(Model!M144-M38,0)</f>
        <v>0</v>
      </c>
      <c r="N39" s="170">
        <f>ROUND(Model!N144-N38,0)</f>
        <v>0</v>
      </c>
      <c r="O39" s="170">
        <f>ROUND(Model!O144-O38,0)</f>
        <v>0</v>
      </c>
      <c r="P39" s="170">
        <f>ROUND(Model!P144-P38,0)</f>
        <v>0</v>
      </c>
      <c r="Q39" s="170">
        <f>ROUND(Model!Q144-Q38,0)</f>
        <v>0</v>
      </c>
      <c r="R39" s="170">
        <f>ROUND(Model!R144-R38,0)</f>
        <v>0</v>
      </c>
      <c r="S39" s="170">
        <f>ROUND(Model!S144-S38,0)</f>
        <v>0</v>
      </c>
      <c r="T39" s="170">
        <f>ROUND(Model!T144-T38,0)</f>
        <v>0</v>
      </c>
      <c r="U39" s="170">
        <f>ROUND(Model!U144-U38,0)</f>
        <v>0</v>
      </c>
      <c r="V39" s="170">
        <f>ROUND(Model!V144-V38,0)</f>
        <v>0</v>
      </c>
      <c r="W39" s="170">
        <f>ROUND(Model!W144-W38,0)</f>
        <v>0</v>
      </c>
      <c r="X39" s="170">
        <f>ROUND(Model!X144-X38,0)</f>
        <v>0</v>
      </c>
      <c r="Y39" s="170">
        <f>ROUND(Model!Y144-Y38,0)</f>
        <v>0</v>
      </c>
      <c r="Z39" s="170">
        <f>ROUND(Model!Z144-Z38,0)</f>
        <v>0</v>
      </c>
      <c r="AA39" s="170">
        <f>ROUND(Model!AA144-AA38,0)</f>
        <v>0</v>
      </c>
      <c r="AB39" s="170">
        <f>ROUND(Model!AB144-AB38,0)</f>
        <v>0</v>
      </c>
      <c r="AC39" s="170">
        <f>ROUND(Model!AC144-AC38,0)</f>
        <v>0</v>
      </c>
      <c r="AD39" s="170">
        <f>ROUND(Model!AD144-AD38,0)</f>
        <v>0</v>
      </c>
      <c r="AE39" s="170">
        <f>ROUND(Model!AE144-AE38,0)</f>
        <v>0</v>
      </c>
      <c r="AF39" s="170">
        <f>ROUND(Model!AF144-AF38,0)</f>
        <v>0</v>
      </c>
      <c r="AG39" s="170">
        <f>ROUND(Model!AG144-AG38,0)</f>
        <v>0</v>
      </c>
      <c r="AH39" s="170">
        <f>ROUND(Model!AH144-AH38,0)</f>
        <v>0</v>
      </c>
      <c r="AI39" s="170">
        <f>ROUND(Model!AI144-AI38,0)</f>
        <v>0</v>
      </c>
      <c r="AJ39" s="170">
        <f>ROUND(Model!AJ144-AJ38,0)</f>
        <v>0</v>
      </c>
      <c r="AK39" s="170">
        <f>ROUND(Model!AK144-AK38,0)</f>
        <v>0</v>
      </c>
      <c r="AL39" s="170">
        <f>ROUND(Model!AL144-AL38,0)</f>
        <v>0</v>
      </c>
      <c r="AM39" s="170">
        <f>ROUND(Model!AM144-AM38,0)</f>
        <v>0</v>
      </c>
      <c r="AN39" s="170">
        <f>ROUND(Model!AN144-AN38,0)</f>
        <v>0</v>
      </c>
      <c r="AO39" s="170">
        <f>ROUND(Model!AO144-AO38,0)</f>
        <v>0</v>
      </c>
      <c r="AP39" s="170">
        <f>ROUND(Model!AP144-AP38,0)</f>
        <v>0</v>
      </c>
      <c r="AQ39" s="170">
        <f>ROUND(Model!AQ144-AQ38,0)</f>
        <v>0</v>
      </c>
      <c r="AR39" s="170">
        <f>ROUND(Model!AR144-AR38,0)</f>
        <v>0</v>
      </c>
      <c r="AS39" s="170">
        <f>ROUND(Model!AS144-AS38,0)</f>
        <v>0</v>
      </c>
      <c r="AT39" s="170">
        <f>ROUND(Model!AT144-AT38,0)</f>
        <v>0</v>
      </c>
      <c r="AU39" s="170">
        <f>ROUND(Model!AU144-AU38,0)</f>
        <v>0</v>
      </c>
      <c r="AV39" s="170">
        <f>ROUND(Model!AV144-AV38,0)</f>
        <v>0</v>
      </c>
      <c r="AW39" s="170">
        <f>ROUND(Model!AW144-AW38,0)</f>
        <v>0</v>
      </c>
      <c r="AX39" s="170">
        <f>ROUND(Model!AX144-AX38,0)</f>
        <v>0</v>
      </c>
      <c r="AY39" s="170">
        <f>ROUND(Model!AY144-AY38,0)</f>
        <v>0</v>
      </c>
      <c r="AZ39" s="170">
        <f>ROUND(Model!AZ144-AZ38,0)</f>
        <v>0</v>
      </c>
      <c r="BA39" s="170">
        <f>ROUND(Model!BA144-BA38,0)</f>
        <v>0</v>
      </c>
      <c r="BB39" s="170">
        <f>ROUND(Model!BB144-BB38,0)</f>
        <v>0</v>
      </c>
      <c r="BC39" s="170">
        <f>ROUND(Model!BC144-BC38,0)</f>
        <v>0</v>
      </c>
      <c r="BD39" s="170">
        <f>ROUND(Model!BD144-BD38,0)</f>
        <v>0</v>
      </c>
      <c r="BE39" s="170">
        <f>ROUND(Model!BE144-BE38,0)</f>
        <v>0</v>
      </c>
      <c r="BF39" s="170">
        <f>ROUND(Model!BF144-BF38,0)</f>
        <v>0</v>
      </c>
      <c r="BG39" s="170">
        <f>ROUND(Model!BG144-BG38,0)</f>
        <v>0</v>
      </c>
      <c r="BH39" s="170">
        <f>ROUND(Model!BH144-BH38,0)</f>
        <v>0</v>
      </c>
      <c r="BI39" s="170">
        <f>ROUND(Model!BI144-BI38,0)</f>
        <v>0</v>
      </c>
      <c r="BJ39" s="170">
        <f>ROUND(Model!BJ144-BJ38,0)</f>
        <v>0</v>
      </c>
      <c r="BK39" s="170">
        <f>ROUND(Model!BK144-BK38,0)</f>
        <v>0</v>
      </c>
      <c r="BL39" s="170">
        <f>ROUND(Model!BL144-BL38,0)</f>
        <v>0</v>
      </c>
      <c r="BM39" s="170">
        <f>ROUND(Model!BM144-BM38,0)</f>
        <v>0</v>
      </c>
      <c r="BN39" s="170">
        <f>ROUND(Model!BN144-BN38,0)</f>
        <v>0</v>
      </c>
      <c r="BO39" s="170">
        <f>ROUND(Model!BO144-BO38,0)</f>
        <v>0</v>
      </c>
      <c r="BP39" s="170">
        <f>ROUND(Model!BP144-BP38,0)</f>
        <v>0</v>
      </c>
      <c r="BQ39" s="170">
        <f>ROUND(Model!BQ144-BQ38,0)</f>
        <v>0</v>
      </c>
      <c r="BR39" s="170">
        <f>ROUND(Model!BR144-BR38,0)</f>
        <v>0</v>
      </c>
    </row>
    <row r="40">
      <c r="A40" s="170"/>
      <c r="B40" s="240"/>
      <c r="C40" s="241"/>
      <c r="D40" s="241"/>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row>
    <row r="41">
      <c r="A41" s="170"/>
      <c r="B41" s="240" t="s">
        <v>249</v>
      </c>
      <c r="C41" s="236"/>
      <c r="D41" s="236"/>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row>
    <row r="42">
      <c r="A42" s="170"/>
      <c r="B42" s="240" t="s">
        <v>250</v>
      </c>
      <c r="C42" s="236"/>
      <c r="D42" s="236"/>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row>
    <row r="43">
      <c r="A43" s="170"/>
      <c r="B43" s="24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row>
    <row r="44">
      <c r="A44" s="170"/>
      <c r="B44" s="240" t="s">
        <v>251</v>
      </c>
      <c r="C44" s="179"/>
      <c r="D44" s="179"/>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row>
    <row r="45">
      <c r="A45" s="170"/>
      <c r="B45" s="240"/>
      <c r="C45" s="179"/>
      <c r="D45" s="179"/>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row>
    <row r="46">
      <c r="A46" s="170"/>
      <c r="B46" s="240" t="s">
        <v>252</v>
      </c>
      <c r="C46" s="179"/>
      <c r="D46" s="179"/>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row>
    <row r="47">
      <c r="A47" s="158"/>
      <c r="B47" s="231"/>
      <c r="C47" s="242"/>
      <c r="D47" s="242"/>
      <c r="E47" s="158"/>
      <c r="F47" s="158"/>
      <c r="G47" s="158"/>
      <c r="H47" s="158"/>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row>
    <row r="48">
      <c r="A48" s="158"/>
      <c r="B48" s="231"/>
      <c r="C48" s="242"/>
      <c r="D48" s="242"/>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row>
    <row r="49">
      <c r="A49" s="158"/>
      <c r="B49" s="231"/>
      <c r="C49" s="242"/>
      <c r="D49" s="242"/>
      <c r="E49" s="158"/>
      <c r="F49" s="158"/>
      <c r="G49" s="158"/>
      <c r="H49" s="158"/>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row>
    <row r="50">
      <c r="A50" s="158"/>
      <c r="B50" s="231"/>
      <c r="C50" s="242"/>
      <c r="D50" s="242"/>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row>
    <row r="51">
      <c r="A51" s="158"/>
      <c r="B51" s="231"/>
      <c r="C51" s="242"/>
      <c r="D51" s="242"/>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row>
    <row r="52">
      <c r="A52" s="158"/>
      <c r="B52" s="231"/>
      <c r="C52" s="242"/>
      <c r="D52" s="242"/>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row>
    <row r="53">
      <c r="A53" s="158"/>
      <c r="B53" s="231"/>
      <c r="C53" s="242"/>
      <c r="D53" s="242"/>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row>
    <row r="54">
      <c r="A54" s="158"/>
      <c r="B54" s="231"/>
      <c r="C54" s="242"/>
      <c r="D54" s="242"/>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row>
    <row r="55">
      <c r="A55" s="158"/>
      <c r="B55" s="231"/>
      <c r="C55" s="242"/>
      <c r="D55" s="242"/>
      <c r="E55" s="158"/>
      <c r="F55" s="158"/>
      <c r="G55" s="158"/>
      <c r="H55" s="158"/>
      <c r="I55" s="158"/>
      <c r="J55" s="158"/>
      <c r="K55" s="158"/>
      <c r="L55" s="158"/>
      <c r="M55" s="158"/>
      <c r="N55" s="158"/>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row>
    <row r="56">
      <c r="A56" s="158"/>
      <c r="B56" s="231"/>
      <c r="C56" s="242"/>
      <c r="D56" s="242"/>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row>
    <row r="57">
      <c r="A57" s="158"/>
      <c r="B57" s="231"/>
      <c r="C57" s="242"/>
      <c r="D57" s="242"/>
      <c r="E57" s="158"/>
      <c r="F57" s="158"/>
      <c r="G57" s="158"/>
      <c r="H57" s="158"/>
      <c r="I57" s="158"/>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row>
    <row r="58">
      <c r="A58" s="158"/>
      <c r="B58" s="231"/>
      <c r="C58" s="242"/>
      <c r="D58" s="242"/>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row>
    <row r="59">
      <c r="A59" s="158"/>
      <c r="B59" s="231"/>
      <c r="C59" s="242"/>
      <c r="D59" s="242"/>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row>
    <row r="60">
      <c r="A60" s="158"/>
      <c r="B60" s="231"/>
      <c r="C60" s="242"/>
      <c r="D60" s="242"/>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row>
    <row r="61">
      <c r="A61" s="158"/>
      <c r="B61" s="231"/>
      <c r="C61" s="242"/>
      <c r="D61" s="242"/>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row>
    <row r="62">
      <c r="A62" s="158"/>
      <c r="B62" s="231"/>
      <c r="C62" s="242"/>
      <c r="D62" s="242"/>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row>
    <row r="63">
      <c r="A63" s="158"/>
      <c r="B63" s="231"/>
      <c r="C63" s="242"/>
      <c r="D63" s="242"/>
      <c r="E63" s="158"/>
      <c r="F63" s="158"/>
      <c r="G63" s="158"/>
      <c r="H63" s="158"/>
      <c r="I63" s="158"/>
      <c r="J63" s="158"/>
      <c r="K63" s="158"/>
      <c r="L63" s="158"/>
      <c r="M63" s="158"/>
      <c r="N63" s="158"/>
      <c r="O63" s="158"/>
      <c r="P63" s="158"/>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row>
    <row r="64">
      <c r="A64" s="158"/>
      <c r="B64" s="231"/>
      <c r="C64" s="242"/>
      <c r="D64" s="242"/>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row>
    <row r="65">
      <c r="A65" s="158"/>
      <c r="B65" s="231"/>
      <c r="C65" s="242"/>
      <c r="D65" s="242"/>
      <c r="E65" s="158"/>
      <c r="F65" s="158"/>
      <c r="G65" s="158"/>
      <c r="H65" s="158"/>
      <c r="I65" s="158"/>
      <c r="J65" s="158"/>
      <c r="K65" s="158"/>
      <c r="L65" s="158"/>
      <c r="M65" s="158"/>
      <c r="N65" s="158"/>
      <c r="O65" s="158"/>
      <c r="P65" s="158"/>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row>
    <row r="66">
      <c r="A66" s="158"/>
      <c r="B66" s="231"/>
      <c r="C66" s="242"/>
      <c r="D66" s="242"/>
      <c r="E66" s="158"/>
      <c r="F66" s="158"/>
      <c r="G66" s="158"/>
      <c r="H66" s="158"/>
      <c r="I66" s="158"/>
      <c r="J66" s="158"/>
      <c r="K66" s="158"/>
      <c r="L66" s="158"/>
      <c r="M66" s="158"/>
      <c r="N66" s="158"/>
      <c r="O66" s="158"/>
      <c r="P66" s="158"/>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row>
    <row r="67">
      <c r="A67" s="158"/>
      <c r="B67" s="231"/>
      <c r="C67" s="242"/>
      <c r="D67" s="242"/>
      <c r="E67" s="158"/>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row>
    <row r="68">
      <c r="A68" s="158"/>
      <c r="B68" s="231"/>
      <c r="C68" s="242"/>
      <c r="D68" s="242"/>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row>
    <row r="69">
      <c r="A69" s="158"/>
      <c r="B69" s="231"/>
      <c r="C69" s="242"/>
      <c r="D69" s="242"/>
      <c r="E69" s="158"/>
      <c r="F69" s="158"/>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row>
    <row r="70">
      <c r="A70" s="158"/>
      <c r="B70" s="231"/>
      <c r="C70" s="242"/>
      <c r="D70" s="242"/>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row>
    <row r="71">
      <c r="A71" s="158"/>
      <c r="B71" s="231"/>
      <c r="C71" s="242"/>
      <c r="D71" s="242"/>
      <c r="E71" s="158"/>
      <c r="F71" s="158"/>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row>
    <row r="72">
      <c r="A72" s="158"/>
      <c r="B72" s="231"/>
      <c r="C72" s="242"/>
      <c r="D72" s="242"/>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row>
    <row r="73">
      <c r="A73" s="158"/>
      <c r="B73" s="231"/>
      <c r="C73" s="242"/>
      <c r="D73" s="242"/>
      <c r="E73" s="158"/>
      <c r="F73" s="158"/>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row>
    <row r="74">
      <c r="A74" s="158"/>
      <c r="B74" s="231"/>
      <c r="C74" s="242"/>
      <c r="D74" s="242"/>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row>
    <row r="75">
      <c r="A75" s="158"/>
      <c r="B75" s="231"/>
      <c r="C75" s="242"/>
      <c r="D75" s="242"/>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row>
    <row r="76">
      <c r="A76" s="158"/>
      <c r="B76" s="231"/>
      <c r="C76" s="242"/>
      <c r="D76" s="242"/>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row>
    <row r="77">
      <c r="A77" s="158"/>
      <c r="B77" s="231"/>
      <c r="C77" s="242"/>
      <c r="D77" s="242"/>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row>
    <row r="78">
      <c r="A78" s="158"/>
      <c r="B78" s="231"/>
      <c r="C78" s="242"/>
      <c r="D78" s="242"/>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row>
    <row r="79">
      <c r="A79" s="158"/>
      <c r="B79" s="231"/>
      <c r="C79" s="242"/>
      <c r="D79" s="242"/>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row>
    <row r="80">
      <c r="A80" s="158"/>
      <c r="B80" s="231"/>
      <c r="C80" s="242"/>
      <c r="D80" s="242"/>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row>
    <row r="81">
      <c r="A81" s="158"/>
      <c r="B81" s="231"/>
      <c r="C81" s="242"/>
      <c r="D81" s="242"/>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row>
    <row r="82">
      <c r="A82" s="158"/>
      <c r="B82" s="231"/>
      <c r="C82" s="242"/>
      <c r="D82" s="242"/>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row>
    <row r="83">
      <c r="A83" s="158"/>
      <c r="B83" s="231"/>
      <c r="C83" s="242"/>
      <c r="D83" s="242"/>
      <c r="E83" s="158"/>
      <c r="F83" s="158"/>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row>
    <row r="84">
      <c r="A84" s="158"/>
      <c r="B84" s="231"/>
      <c r="C84" s="242"/>
      <c r="D84" s="242"/>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row>
    <row r="85">
      <c r="A85" s="158"/>
      <c r="B85" s="231"/>
      <c r="C85" s="242"/>
      <c r="D85" s="242"/>
      <c r="E85" s="158"/>
      <c r="F85" s="158"/>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row>
    <row r="86">
      <c r="A86" s="158"/>
      <c r="B86" s="231"/>
      <c r="C86" s="242"/>
      <c r="D86" s="242"/>
      <c r="E86" s="158"/>
      <c r="F86" s="158"/>
      <c r="G86" s="158"/>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row>
    <row r="87">
      <c r="A87" s="158"/>
      <c r="B87" s="231"/>
      <c r="C87" s="242"/>
      <c r="D87" s="242"/>
      <c r="E87" s="158"/>
      <c r="F87" s="158"/>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row>
    <row r="88">
      <c r="A88" s="158"/>
      <c r="B88" s="231"/>
      <c r="C88" s="242"/>
      <c r="D88" s="242"/>
      <c r="E88" s="158"/>
      <c r="F88" s="158"/>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row>
    <row r="89">
      <c r="A89" s="158"/>
      <c r="B89" s="231"/>
      <c r="C89" s="242"/>
      <c r="D89" s="242"/>
      <c r="E89" s="158"/>
      <c r="F89" s="158"/>
      <c r="G89" s="158"/>
      <c r="H89" s="158"/>
      <c r="I89" s="158"/>
      <c r="J89" s="158"/>
      <c r="K89" s="158"/>
      <c r="L89" s="158"/>
      <c r="M89" s="158"/>
      <c r="N89" s="158"/>
      <c r="O89" s="158"/>
      <c r="P89" s="158"/>
      <c r="Q89" s="158"/>
      <c r="R89" s="158"/>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row>
    <row r="90">
      <c r="A90" s="158"/>
      <c r="B90" s="231"/>
      <c r="C90" s="242"/>
      <c r="D90" s="242"/>
      <c r="E90" s="158"/>
      <c r="F90" s="158"/>
      <c r="G90" s="158"/>
      <c r="H90" s="158"/>
      <c r="I90" s="158"/>
      <c r="J90" s="158"/>
      <c r="K90" s="158"/>
      <c r="L90" s="158"/>
      <c r="M90" s="158"/>
      <c r="N90" s="158"/>
      <c r="O90" s="158"/>
      <c r="P90" s="158"/>
      <c r="Q90" s="158"/>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row>
    <row r="91">
      <c r="A91" s="158"/>
      <c r="B91" s="231"/>
      <c r="C91" s="242"/>
      <c r="D91" s="242"/>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row>
    <row r="92">
      <c r="A92" s="158"/>
      <c r="B92" s="231"/>
      <c r="C92" s="242"/>
      <c r="D92" s="242"/>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row>
    <row r="93">
      <c r="A93" s="158"/>
      <c r="B93" s="231"/>
      <c r="C93" s="242"/>
      <c r="D93" s="242"/>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row>
    <row r="94">
      <c r="A94" s="158"/>
      <c r="B94" s="231"/>
      <c r="C94" s="242"/>
      <c r="D94" s="242"/>
      <c r="E94" s="158"/>
      <c r="F94" s="158"/>
      <c r="G94" s="158"/>
      <c r="H94" s="158"/>
      <c r="I94" s="158"/>
      <c r="J94" s="158"/>
      <c r="K94" s="158"/>
      <c r="L94" s="158"/>
      <c r="M94" s="158"/>
      <c r="N94" s="158"/>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row>
    <row r="95">
      <c r="A95" s="158"/>
      <c r="B95" s="231"/>
      <c r="C95" s="242"/>
      <c r="D95" s="242"/>
      <c r="E95" s="158"/>
      <c r="F95" s="158"/>
      <c r="G95" s="158"/>
      <c r="H95" s="158"/>
      <c r="I95" s="158"/>
      <c r="J95" s="158"/>
      <c r="K95" s="158"/>
      <c r="L95" s="158"/>
      <c r="M95" s="158"/>
      <c r="N95" s="158"/>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row>
    <row r="96">
      <c r="A96" s="158"/>
      <c r="B96" s="231"/>
      <c r="C96" s="242"/>
      <c r="D96" s="242"/>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row>
    <row r="97">
      <c r="A97" s="158"/>
      <c r="B97" s="231"/>
      <c r="C97" s="242"/>
      <c r="D97" s="242"/>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row>
    <row r="98">
      <c r="A98" s="158"/>
      <c r="B98" s="231"/>
      <c r="C98" s="242"/>
      <c r="D98" s="242"/>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row>
    <row r="99">
      <c r="A99" s="158"/>
      <c r="B99" s="231"/>
      <c r="C99" s="242"/>
      <c r="D99" s="242"/>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row>
    <row r="100">
      <c r="A100" s="158"/>
      <c r="B100" s="231"/>
      <c r="C100" s="242"/>
      <c r="D100" s="242"/>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row>
    <row r="101">
      <c r="A101" s="158"/>
      <c r="B101" s="231"/>
      <c r="C101" s="242"/>
      <c r="D101" s="242"/>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row>
    <row r="102">
      <c r="A102" s="158"/>
      <c r="B102" s="231"/>
      <c r="C102" s="242"/>
      <c r="D102" s="242"/>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row>
    <row r="103">
      <c r="A103" s="158"/>
      <c r="B103" s="231"/>
      <c r="C103" s="242"/>
      <c r="D103" s="242"/>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row>
    <row r="104">
      <c r="A104" s="158"/>
      <c r="B104" s="231"/>
      <c r="C104" s="242"/>
      <c r="D104" s="242"/>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row>
    <row r="105">
      <c r="A105" s="158"/>
      <c r="B105" s="231"/>
      <c r="C105" s="242"/>
      <c r="D105" s="242"/>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row>
    <row r="106">
      <c r="A106" s="158"/>
      <c r="B106" s="231"/>
      <c r="C106" s="242"/>
      <c r="D106" s="242"/>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row>
    <row r="107">
      <c r="A107" s="158"/>
      <c r="B107" s="231"/>
      <c r="C107" s="242"/>
      <c r="D107" s="242"/>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row>
    <row r="108">
      <c r="A108" s="158"/>
      <c r="B108" s="231"/>
      <c r="C108" s="242"/>
      <c r="D108" s="242"/>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row>
    <row r="109">
      <c r="A109" s="158"/>
      <c r="B109" s="231"/>
      <c r="C109" s="242"/>
      <c r="D109" s="242"/>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row>
    <row r="110">
      <c r="A110" s="158"/>
      <c r="B110" s="231"/>
      <c r="C110" s="242"/>
      <c r="D110" s="242"/>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row>
    <row r="111">
      <c r="A111" s="158"/>
      <c r="B111" s="231"/>
      <c r="C111" s="242"/>
      <c r="D111" s="242"/>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row>
    <row r="112">
      <c r="A112" s="158"/>
      <c r="B112" s="231"/>
      <c r="C112" s="242"/>
      <c r="D112" s="242"/>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row>
    <row r="113">
      <c r="A113" s="158"/>
      <c r="B113" s="231"/>
      <c r="C113" s="242"/>
      <c r="D113" s="242"/>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row>
    <row r="114">
      <c r="A114" s="158"/>
      <c r="B114" s="231"/>
      <c r="C114" s="242"/>
      <c r="D114" s="242"/>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row>
    <row r="115">
      <c r="A115" s="158"/>
      <c r="B115" s="231"/>
      <c r="C115" s="242"/>
      <c r="D115" s="242"/>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row>
    <row r="116">
      <c r="A116" s="158"/>
      <c r="B116" s="231"/>
      <c r="C116" s="242"/>
      <c r="D116" s="242"/>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row>
    <row r="117">
      <c r="A117" s="158"/>
      <c r="B117" s="231"/>
      <c r="C117" s="242"/>
      <c r="D117" s="242"/>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row>
    <row r="118">
      <c r="A118" s="158"/>
      <c r="B118" s="231"/>
      <c r="C118" s="242"/>
      <c r="D118" s="242"/>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row>
    <row r="119">
      <c r="A119" s="158"/>
      <c r="B119" s="231"/>
      <c r="C119" s="242"/>
      <c r="D119" s="242"/>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row>
    <row r="120">
      <c r="A120" s="158"/>
      <c r="B120" s="231"/>
      <c r="C120" s="242"/>
      <c r="D120" s="242"/>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row>
    <row r="121">
      <c r="A121" s="158"/>
      <c r="B121" s="231"/>
      <c r="C121" s="242"/>
      <c r="D121" s="242"/>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row>
    <row r="122">
      <c r="A122" s="158"/>
      <c r="B122" s="231"/>
      <c r="C122" s="242"/>
      <c r="D122" s="242"/>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row>
    <row r="123">
      <c r="A123" s="158"/>
      <c r="B123" s="231"/>
      <c r="C123" s="242"/>
      <c r="D123" s="242"/>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row>
    <row r="124">
      <c r="A124" s="158"/>
      <c r="B124" s="231"/>
      <c r="C124" s="242"/>
      <c r="D124" s="242"/>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row>
    <row r="125">
      <c r="A125" s="158"/>
      <c r="B125" s="231"/>
      <c r="C125" s="242"/>
      <c r="D125" s="242"/>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row>
    <row r="126">
      <c r="A126" s="158"/>
      <c r="B126" s="231"/>
      <c r="C126" s="242"/>
      <c r="D126" s="242"/>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row>
    <row r="127">
      <c r="A127" s="158"/>
      <c r="B127" s="231"/>
      <c r="C127" s="242"/>
      <c r="D127" s="242"/>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row>
    <row r="128">
      <c r="A128" s="158"/>
      <c r="B128" s="231"/>
      <c r="C128" s="242"/>
      <c r="D128" s="242"/>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row>
    <row r="129">
      <c r="A129" s="158"/>
      <c r="B129" s="231"/>
      <c r="C129" s="242"/>
      <c r="D129" s="242"/>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row>
    <row r="130">
      <c r="A130" s="158"/>
      <c r="B130" s="231"/>
      <c r="C130" s="242"/>
      <c r="D130" s="242"/>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row>
    <row r="131">
      <c r="A131" s="158"/>
      <c r="B131" s="231"/>
      <c r="C131" s="242"/>
      <c r="D131" s="242"/>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row>
    <row r="132">
      <c r="A132" s="158"/>
      <c r="B132" s="231"/>
      <c r="C132" s="242"/>
      <c r="D132" s="242"/>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row>
    <row r="133">
      <c r="A133" s="158"/>
      <c r="B133" s="231"/>
      <c r="C133" s="242"/>
      <c r="D133" s="242"/>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row>
    <row r="134">
      <c r="A134" s="158"/>
      <c r="B134" s="231"/>
      <c r="C134" s="242"/>
      <c r="D134" s="242"/>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row>
    <row r="135">
      <c r="A135" s="158"/>
      <c r="B135" s="231"/>
      <c r="C135" s="242"/>
      <c r="D135" s="242"/>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row>
    <row r="136">
      <c r="A136" s="158"/>
      <c r="B136" s="231"/>
      <c r="C136" s="242"/>
      <c r="D136" s="242"/>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row>
    <row r="137">
      <c r="A137" s="158"/>
      <c r="B137" s="231"/>
      <c r="C137" s="242"/>
      <c r="D137" s="242"/>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row>
    <row r="138">
      <c r="A138" s="158"/>
      <c r="B138" s="231"/>
      <c r="C138" s="242"/>
      <c r="D138" s="242"/>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row>
    <row r="139">
      <c r="A139" s="158"/>
      <c r="B139" s="231"/>
      <c r="C139" s="242"/>
      <c r="D139" s="242"/>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row>
    <row r="140">
      <c r="A140" s="158"/>
      <c r="B140" s="231"/>
      <c r="C140" s="242"/>
      <c r="D140" s="242"/>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row>
    <row r="141">
      <c r="A141" s="158"/>
      <c r="B141" s="231"/>
      <c r="C141" s="242"/>
      <c r="D141" s="242"/>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row>
    <row r="142">
      <c r="A142" s="158"/>
      <c r="B142" s="231"/>
      <c r="C142" s="242"/>
      <c r="D142" s="242"/>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row>
    <row r="143">
      <c r="A143" s="158"/>
      <c r="B143" s="231"/>
      <c r="C143" s="242"/>
      <c r="D143" s="242"/>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row>
    <row r="144">
      <c r="A144" s="158"/>
      <c r="B144" s="231"/>
      <c r="C144" s="242"/>
      <c r="D144" s="242"/>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row>
    <row r="145">
      <c r="A145" s="158"/>
      <c r="B145" s="231"/>
      <c r="C145" s="242"/>
      <c r="D145" s="242"/>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row>
    <row r="146">
      <c r="A146" s="158"/>
      <c r="B146" s="231"/>
      <c r="C146" s="242"/>
      <c r="D146" s="242"/>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row>
    <row r="147">
      <c r="A147" s="158"/>
      <c r="B147" s="231"/>
      <c r="C147" s="242"/>
      <c r="D147" s="242"/>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row>
    <row r="148">
      <c r="A148" s="158"/>
      <c r="B148" s="231"/>
      <c r="C148" s="242"/>
      <c r="D148" s="242"/>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row>
    <row r="149">
      <c r="A149" s="158"/>
      <c r="B149" s="231"/>
      <c r="C149" s="242"/>
      <c r="D149" s="242"/>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row>
    <row r="150">
      <c r="A150" s="158"/>
      <c r="B150" s="231"/>
      <c r="C150" s="242"/>
      <c r="D150" s="242"/>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row>
    <row r="151">
      <c r="A151" s="158"/>
      <c r="B151" s="231"/>
      <c r="C151" s="242"/>
      <c r="D151" s="242"/>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row>
    <row r="152">
      <c r="A152" s="158"/>
      <c r="B152" s="231"/>
      <c r="C152" s="242"/>
      <c r="D152" s="242"/>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row>
    <row r="153">
      <c r="A153" s="158"/>
      <c r="B153" s="231"/>
      <c r="C153" s="242"/>
      <c r="D153" s="242"/>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row>
    <row r="154">
      <c r="A154" s="158"/>
      <c r="B154" s="231"/>
      <c r="C154" s="242"/>
      <c r="D154" s="242"/>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row>
    <row r="155">
      <c r="A155" s="158"/>
      <c r="B155" s="231"/>
      <c r="C155" s="242"/>
      <c r="D155" s="242"/>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row>
    <row r="156">
      <c r="A156" s="158"/>
      <c r="B156" s="231"/>
      <c r="C156" s="242"/>
      <c r="D156" s="242"/>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row>
    <row r="157">
      <c r="A157" s="158"/>
      <c r="B157" s="231"/>
      <c r="C157" s="242"/>
      <c r="D157" s="242"/>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row>
    <row r="158">
      <c r="A158" s="158"/>
      <c r="B158" s="231"/>
      <c r="C158" s="242"/>
      <c r="D158" s="242"/>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row>
    <row r="159">
      <c r="A159" s="158"/>
      <c r="B159" s="231"/>
      <c r="C159" s="242"/>
      <c r="D159" s="242"/>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row>
    <row r="160">
      <c r="A160" s="158"/>
      <c r="B160" s="231"/>
      <c r="C160" s="242"/>
      <c r="D160" s="242"/>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row>
    <row r="161">
      <c r="A161" s="158"/>
      <c r="B161" s="231"/>
      <c r="C161" s="242"/>
      <c r="D161" s="242"/>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row>
    <row r="162">
      <c r="A162" s="158"/>
      <c r="B162" s="231"/>
      <c r="C162" s="242"/>
      <c r="D162" s="242"/>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row>
    <row r="163">
      <c r="A163" s="158"/>
      <c r="B163" s="231"/>
      <c r="C163" s="242"/>
      <c r="D163" s="242"/>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row>
    <row r="164">
      <c r="A164" s="158"/>
      <c r="B164" s="231"/>
      <c r="C164" s="242"/>
      <c r="D164" s="242"/>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row>
    <row r="165">
      <c r="A165" s="158"/>
      <c r="B165" s="231"/>
      <c r="C165" s="242"/>
      <c r="D165" s="242"/>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row>
    <row r="166">
      <c r="A166" s="158"/>
      <c r="B166" s="231"/>
      <c r="C166" s="242"/>
      <c r="D166" s="242"/>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row>
    <row r="167">
      <c r="A167" s="158"/>
      <c r="B167" s="231"/>
      <c r="C167" s="242"/>
      <c r="D167" s="242"/>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row>
    <row r="168">
      <c r="A168" s="158"/>
      <c r="B168" s="231"/>
      <c r="C168" s="242"/>
      <c r="D168" s="242"/>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row>
    <row r="169">
      <c r="A169" s="158"/>
      <c r="B169" s="231"/>
      <c r="C169" s="242"/>
      <c r="D169" s="242"/>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row>
    <row r="170">
      <c r="A170" s="158"/>
      <c r="B170" s="231"/>
      <c r="C170" s="242"/>
      <c r="D170" s="242"/>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row>
    <row r="171">
      <c r="A171" s="158"/>
      <c r="B171" s="231"/>
      <c r="C171" s="242"/>
      <c r="D171" s="242"/>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row>
    <row r="172">
      <c r="A172" s="158"/>
      <c r="B172" s="231"/>
      <c r="C172" s="242"/>
      <c r="D172" s="242"/>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row>
    <row r="173">
      <c r="A173" s="158"/>
      <c r="B173" s="231"/>
      <c r="C173" s="242"/>
      <c r="D173" s="242"/>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row>
    <row r="174">
      <c r="A174" s="158"/>
      <c r="B174" s="231"/>
      <c r="C174" s="242"/>
      <c r="D174" s="242"/>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row>
    <row r="175">
      <c r="A175" s="158"/>
      <c r="B175" s="231"/>
      <c r="C175" s="242"/>
      <c r="D175" s="242"/>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row>
    <row r="176">
      <c r="A176" s="158"/>
      <c r="B176" s="231"/>
      <c r="C176" s="242"/>
      <c r="D176" s="242"/>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row>
    <row r="177">
      <c r="A177" s="158"/>
      <c r="B177" s="231"/>
      <c r="C177" s="242"/>
      <c r="D177" s="242"/>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row>
    <row r="178">
      <c r="A178" s="158"/>
      <c r="B178" s="231"/>
      <c r="C178" s="242"/>
      <c r="D178" s="242"/>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row>
    <row r="179">
      <c r="A179" s="158"/>
      <c r="B179" s="231"/>
      <c r="C179" s="242"/>
      <c r="D179" s="242"/>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row>
    <row r="180">
      <c r="A180" s="158"/>
      <c r="B180" s="231"/>
      <c r="C180" s="242"/>
      <c r="D180" s="242"/>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row>
    <row r="181">
      <c r="A181" s="158"/>
      <c r="B181" s="231"/>
      <c r="C181" s="242"/>
      <c r="D181" s="242"/>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row>
    <row r="182">
      <c r="A182" s="158"/>
      <c r="B182" s="231"/>
      <c r="C182" s="242"/>
      <c r="D182" s="242"/>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row>
    <row r="183">
      <c r="A183" s="158"/>
      <c r="B183" s="231"/>
      <c r="C183" s="242"/>
      <c r="D183" s="242"/>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row>
    <row r="184">
      <c r="A184" s="158"/>
      <c r="B184" s="231"/>
      <c r="C184" s="242"/>
      <c r="D184" s="242"/>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row>
    <row r="185">
      <c r="A185" s="158"/>
      <c r="B185" s="231"/>
      <c r="C185" s="242"/>
      <c r="D185" s="242"/>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row>
    <row r="186">
      <c r="A186" s="158"/>
      <c r="B186" s="231"/>
      <c r="C186" s="242"/>
      <c r="D186" s="242"/>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row>
    <row r="187">
      <c r="A187" s="158"/>
      <c r="B187" s="231"/>
      <c r="C187" s="242"/>
      <c r="D187" s="242"/>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row>
    <row r="188">
      <c r="A188" s="158"/>
      <c r="B188" s="231"/>
      <c r="C188" s="242"/>
      <c r="D188" s="242"/>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row>
    <row r="189">
      <c r="A189" s="158"/>
      <c r="B189" s="231"/>
      <c r="C189" s="242"/>
      <c r="D189" s="242"/>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row>
    <row r="190">
      <c r="A190" s="158"/>
      <c r="B190" s="231"/>
      <c r="C190" s="242"/>
      <c r="D190" s="242"/>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row>
    <row r="191">
      <c r="A191" s="158"/>
      <c r="B191" s="231"/>
      <c r="C191" s="242"/>
      <c r="D191" s="242"/>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row>
    <row r="192">
      <c r="A192" s="158"/>
      <c r="B192" s="231"/>
      <c r="C192" s="242"/>
      <c r="D192" s="242"/>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row>
    <row r="193">
      <c r="A193" s="158"/>
      <c r="B193" s="231"/>
      <c r="C193" s="242"/>
      <c r="D193" s="242"/>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row>
    <row r="194">
      <c r="A194" s="158"/>
      <c r="B194" s="231"/>
      <c r="C194" s="242"/>
      <c r="D194" s="242"/>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row>
    <row r="195">
      <c r="A195" s="158"/>
      <c r="B195" s="231"/>
      <c r="C195" s="242"/>
      <c r="D195" s="242"/>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row>
    <row r="196">
      <c r="A196" s="158"/>
      <c r="B196" s="231"/>
      <c r="C196" s="242"/>
      <c r="D196" s="242"/>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row>
    <row r="197">
      <c r="A197" s="158"/>
      <c r="B197" s="231"/>
      <c r="C197" s="242"/>
      <c r="D197" s="242"/>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row>
    <row r="198">
      <c r="A198" s="158"/>
      <c r="B198" s="231"/>
      <c r="C198" s="242"/>
      <c r="D198" s="242"/>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row>
    <row r="199">
      <c r="A199" s="158"/>
      <c r="B199" s="231"/>
      <c r="C199" s="242"/>
      <c r="D199" s="242"/>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row>
    <row r="200">
      <c r="A200" s="158"/>
      <c r="B200" s="231"/>
      <c r="C200" s="242"/>
      <c r="D200" s="242"/>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row>
    <row r="201">
      <c r="A201" s="158"/>
      <c r="B201" s="231"/>
      <c r="C201" s="242"/>
      <c r="D201" s="242"/>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row>
    <row r="202">
      <c r="A202" s="158"/>
      <c r="B202" s="231"/>
      <c r="C202" s="242"/>
      <c r="D202" s="242"/>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row>
    <row r="203">
      <c r="A203" s="158"/>
      <c r="B203" s="231"/>
      <c r="C203" s="242"/>
      <c r="D203" s="242"/>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row>
    <row r="204">
      <c r="A204" s="158"/>
      <c r="B204" s="231"/>
      <c r="C204" s="242"/>
      <c r="D204" s="242"/>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row>
    <row r="205">
      <c r="A205" s="158"/>
      <c r="B205" s="231"/>
      <c r="C205" s="242"/>
      <c r="D205" s="242"/>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row>
    <row r="206">
      <c r="A206" s="158"/>
      <c r="B206" s="231"/>
      <c r="C206" s="242"/>
      <c r="D206" s="242"/>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row>
    <row r="207">
      <c r="A207" s="158"/>
      <c r="B207" s="231"/>
      <c r="C207" s="242"/>
      <c r="D207" s="242"/>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row>
    <row r="208">
      <c r="A208" s="158"/>
      <c r="B208" s="231"/>
      <c r="C208" s="242"/>
      <c r="D208" s="242"/>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row>
    <row r="209">
      <c r="A209" s="158"/>
      <c r="B209" s="231"/>
      <c r="C209" s="242"/>
      <c r="D209" s="242"/>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row>
    <row r="210">
      <c r="A210" s="158"/>
      <c r="B210" s="231"/>
      <c r="C210" s="242"/>
      <c r="D210" s="242"/>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row>
    <row r="211">
      <c r="A211" s="158"/>
      <c r="B211" s="231"/>
      <c r="C211" s="242"/>
      <c r="D211" s="242"/>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row>
    <row r="212">
      <c r="A212" s="158"/>
      <c r="B212" s="231"/>
      <c r="C212" s="242"/>
      <c r="D212" s="242"/>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row>
    <row r="213">
      <c r="A213" s="158"/>
      <c r="B213" s="231"/>
      <c r="C213" s="242"/>
      <c r="D213" s="242"/>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row>
    <row r="214">
      <c r="A214" s="158"/>
      <c r="B214" s="231"/>
      <c r="C214" s="242"/>
      <c r="D214" s="242"/>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row>
    <row r="215">
      <c r="A215" s="158"/>
      <c r="B215" s="231"/>
      <c r="C215" s="242"/>
      <c r="D215" s="242"/>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row>
    <row r="216">
      <c r="A216" s="158"/>
      <c r="B216" s="231"/>
      <c r="C216" s="242"/>
      <c r="D216" s="242"/>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row>
    <row r="217">
      <c r="A217" s="158"/>
      <c r="B217" s="231"/>
      <c r="C217" s="242"/>
      <c r="D217" s="242"/>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row>
    <row r="218">
      <c r="A218" s="158"/>
      <c r="B218" s="231"/>
      <c r="C218" s="242"/>
      <c r="D218" s="242"/>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row>
    <row r="219">
      <c r="A219" s="158"/>
      <c r="B219" s="231"/>
      <c r="C219" s="242"/>
      <c r="D219" s="242"/>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row>
    <row r="220">
      <c r="A220" s="158"/>
      <c r="B220" s="231"/>
      <c r="C220" s="242"/>
      <c r="D220" s="242"/>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row>
    <row r="221">
      <c r="A221" s="158"/>
      <c r="B221" s="231"/>
      <c r="C221" s="242"/>
      <c r="D221" s="242"/>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row>
    <row r="222">
      <c r="A222" s="158"/>
      <c r="B222" s="231"/>
      <c r="C222" s="242"/>
      <c r="D222" s="242"/>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row>
    <row r="223">
      <c r="A223" s="158"/>
      <c r="B223" s="231"/>
      <c r="C223" s="242"/>
      <c r="D223" s="242"/>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row>
    <row r="224">
      <c r="A224" s="158"/>
      <c r="B224" s="231"/>
      <c r="C224" s="242"/>
      <c r="D224" s="242"/>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row>
    <row r="225">
      <c r="A225" s="158"/>
      <c r="B225" s="231"/>
      <c r="C225" s="242"/>
      <c r="D225" s="242"/>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row>
    <row r="226">
      <c r="A226" s="158"/>
      <c r="B226" s="231"/>
      <c r="C226" s="242"/>
      <c r="D226" s="242"/>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row>
    <row r="227">
      <c r="A227" s="158"/>
      <c r="B227" s="231"/>
      <c r="C227" s="242"/>
      <c r="D227" s="242"/>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row>
    <row r="228">
      <c r="A228" s="158"/>
      <c r="B228" s="231"/>
      <c r="C228" s="242"/>
      <c r="D228" s="242"/>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row>
    <row r="229">
      <c r="A229" s="158"/>
      <c r="B229" s="231"/>
      <c r="C229" s="242"/>
      <c r="D229" s="242"/>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row>
    <row r="230">
      <c r="A230" s="158"/>
      <c r="B230" s="231"/>
      <c r="C230" s="242"/>
      <c r="D230" s="242"/>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row>
    <row r="231">
      <c r="A231" s="158"/>
      <c r="B231" s="231"/>
      <c r="C231" s="242"/>
      <c r="D231" s="242"/>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row>
    <row r="232">
      <c r="A232" s="158"/>
      <c r="B232" s="231"/>
      <c r="C232" s="242"/>
      <c r="D232" s="242"/>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row>
    <row r="233">
      <c r="A233" s="158"/>
      <c r="B233" s="231"/>
      <c r="C233" s="242"/>
      <c r="D233" s="242"/>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row>
    <row r="234">
      <c r="A234" s="158"/>
      <c r="B234" s="231"/>
      <c r="C234" s="242"/>
      <c r="D234" s="242"/>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row>
    <row r="235">
      <c r="A235" s="158"/>
      <c r="B235" s="231"/>
      <c r="C235" s="242"/>
      <c r="D235" s="242"/>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row>
    <row r="236">
      <c r="A236" s="158"/>
      <c r="B236" s="231"/>
      <c r="C236" s="242"/>
      <c r="D236" s="242"/>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row>
    <row r="237">
      <c r="A237" s="158"/>
      <c r="B237" s="231"/>
      <c r="C237" s="242"/>
      <c r="D237" s="242"/>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row>
    <row r="238">
      <c r="A238" s="158"/>
      <c r="B238" s="231"/>
      <c r="C238" s="242"/>
      <c r="D238" s="242"/>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row>
    <row r="239">
      <c r="A239" s="158"/>
      <c r="B239" s="231"/>
      <c r="C239" s="242"/>
      <c r="D239" s="242"/>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row>
    <row r="240">
      <c r="A240" s="158"/>
      <c r="B240" s="231"/>
      <c r="C240" s="242"/>
      <c r="D240" s="242"/>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row>
    <row r="241">
      <c r="A241" s="158"/>
      <c r="B241" s="231"/>
      <c r="C241" s="242"/>
      <c r="D241" s="242"/>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row>
    <row r="242">
      <c r="A242" s="158"/>
      <c r="B242" s="231"/>
      <c r="C242" s="242"/>
      <c r="D242" s="242"/>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row>
    <row r="243">
      <c r="A243" s="158"/>
      <c r="B243" s="231"/>
      <c r="C243" s="242"/>
      <c r="D243" s="242"/>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row>
    <row r="244">
      <c r="A244" s="158"/>
      <c r="B244" s="231"/>
      <c r="C244" s="242"/>
      <c r="D244" s="242"/>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row>
    <row r="245">
      <c r="A245" s="158"/>
      <c r="B245" s="231"/>
      <c r="C245" s="242"/>
      <c r="D245" s="242"/>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row>
    <row r="246">
      <c r="A246" s="158"/>
      <c r="B246" s="231"/>
      <c r="C246" s="242"/>
      <c r="D246" s="242"/>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row>
    <row r="247">
      <c r="A247" s="158"/>
      <c r="B247" s="231"/>
      <c r="C247" s="242"/>
      <c r="D247" s="242"/>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row>
    <row r="248">
      <c r="A248" s="158"/>
      <c r="B248" s="231"/>
      <c r="C248" s="242"/>
      <c r="D248" s="242"/>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row>
    <row r="249">
      <c r="A249" s="158"/>
      <c r="B249" s="231"/>
      <c r="C249" s="242"/>
      <c r="D249" s="242"/>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row>
    <row r="250">
      <c r="A250" s="158"/>
      <c r="B250" s="231"/>
      <c r="C250" s="242"/>
      <c r="D250" s="242"/>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row>
    <row r="251">
      <c r="A251" s="158"/>
      <c r="B251" s="231"/>
      <c r="C251" s="242"/>
      <c r="D251" s="242"/>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row>
    <row r="252">
      <c r="A252" s="158"/>
      <c r="B252" s="231"/>
      <c r="C252" s="242"/>
      <c r="D252" s="242"/>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row>
    <row r="253">
      <c r="A253" s="158"/>
      <c r="B253" s="231"/>
      <c r="C253" s="242"/>
      <c r="D253" s="242"/>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row>
    <row r="254">
      <c r="A254" s="158"/>
      <c r="B254" s="231"/>
      <c r="C254" s="242"/>
      <c r="D254" s="242"/>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row>
    <row r="255">
      <c r="A255" s="158"/>
      <c r="B255" s="231"/>
      <c r="C255" s="242"/>
      <c r="D255" s="242"/>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row>
    <row r="256">
      <c r="A256" s="158"/>
      <c r="B256" s="231"/>
      <c r="C256" s="242"/>
      <c r="D256" s="242"/>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row>
    <row r="257">
      <c r="A257" s="158"/>
      <c r="B257" s="231"/>
      <c r="C257" s="242"/>
      <c r="D257" s="242"/>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row>
    <row r="258">
      <c r="A258" s="158"/>
      <c r="B258" s="231"/>
      <c r="C258" s="242"/>
      <c r="D258" s="242"/>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row>
    <row r="259">
      <c r="A259" s="158"/>
      <c r="B259" s="231"/>
      <c r="C259" s="242"/>
      <c r="D259" s="242"/>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row>
    <row r="260">
      <c r="A260" s="158"/>
      <c r="B260" s="231"/>
      <c r="C260" s="242"/>
      <c r="D260" s="242"/>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row>
    <row r="261">
      <c r="A261" s="158"/>
      <c r="B261" s="231"/>
      <c r="C261" s="242"/>
      <c r="D261" s="242"/>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row>
    <row r="262">
      <c r="A262" s="158"/>
      <c r="B262" s="231"/>
      <c r="C262" s="242"/>
      <c r="D262" s="242"/>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c r="BQ262" s="158"/>
      <c r="BR262" s="158"/>
    </row>
    <row r="263">
      <c r="A263" s="158"/>
      <c r="B263" s="231"/>
      <c r="C263" s="242"/>
      <c r="D263" s="242"/>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row>
    <row r="264">
      <c r="A264" s="158"/>
      <c r="B264" s="231"/>
      <c r="C264" s="242"/>
      <c r="D264" s="242"/>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row>
    <row r="265">
      <c r="A265" s="158"/>
      <c r="B265" s="231"/>
      <c r="C265" s="242"/>
      <c r="D265" s="242"/>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row>
    <row r="266">
      <c r="A266" s="158"/>
      <c r="B266" s="231"/>
      <c r="C266" s="242"/>
      <c r="D266" s="242"/>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row>
    <row r="267">
      <c r="A267" s="158"/>
      <c r="B267" s="231"/>
      <c r="C267" s="242"/>
      <c r="D267" s="242"/>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c r="BQ267" s="158"/>
      <c r="BR267" s="158"/>
    </row>
    <row r="268">
      <c r="A268" s="158"/>
      <c r="B268" s="231"/>
      <c r="C268" s="242"/>
      <c r="D268" s="242"/>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row>
    <row r="269">
      <c r="A269" s="158"/>
      <c r="B269" s="231"/>
      <c r="C269" s="242"/>
      <c r="D269" s="242"/>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row>
    <row r="270">
      <c r="A270" s="158"/>
      <c r="B270" s="231"/>
      <c r="C270" s="242"/>
      <c r="D270" s="242"/>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row>
    <row r="271">
      <c r="A271" s="158"/>
      <c r="B271" s="231"/>
      <c r="C271" s="242"/>
      <c r="D271" s="242"/>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row>
    <row r="272">
      <c r="A272" s="158"/>
      <c r="B272" s="231"/>
      <c r="C272" s="242"/>
      <c r="D272" s="242"/>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row>
    <row r="273">
      <c r="A273" s="158"/>
      <c r="B273" s="231"/>
      <c r="C273" s="242"/>
      <c r="D273" s="242"/>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8"/>
      <c r="BR273" s="158"/>
    </row>
    <row r="274">
      <c r="A274" s="158"/>
      <c r="B274" s="231"/>
      <c r="C274" s="242"/>
      <c r="D274" s="242"/>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row>
    <row r="275">
      <c r="A275" s="158"/>
      <c r="B275" s="231"/>
      <c r="C275" s="242"/>
      <c r="D275" s="242"/>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row>
    <row r="276">
      <c r="A276" s="158"/>
      <c r="B276" s="231"/>
      <c r="C276" s="242"/>
      <c r="D276" s="242"/>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row>
    <row r="277">
      <c r="A277" s="158"/>
      <c r="B277" s="231"/>
      <c r="C277" s="242"/>
      <c r="D277" s="242"/>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row>
    <row r="278">
      <c r="A278" s="158"/>
      <c r="B278" s="231"/>
      <c r="C278" s="242"/>
      <c r="D278" s="242"/>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row>
    <row r="279">
      <c r="A279" s="158"/>
      <c r="B279" s="231"/>
      <c r="C279" s="242"/>
      <c r="D279" s="242"/>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AY279" s="158"/>
      <c r="AZ279" s="158"/>
      <c r="BA279" s="158"/>
      <c r="BB279" s="158"/>
      <c r="BC279" s="158"/>
      <c r="BD279" s="158"/>
      <c r="BE279" s="158"/>
      <c r="BF279" s="158"/>
      <c r="BG279" s="158"/>
      <c r="BH279" s="158"/>
      <c r="BI279" s="158"/>
      <c r="BJ279" s="158"/>
      <c r="BK279" s="158"/>
      <c r="BL279" s="158"/>
      <c r="BM279" s="158"/>
      <c r="BN279" s="158"/>
      <c r="BO279" s="158"/>
      <c r="BP279" s="158"/>
      <c r="BQ279" s="158"/>
      <c r="BR279" s="158"/>
    </row>
    <row r="280">
      <c r="A280" s="158"/>
      <c r="B280" s="231"/>
      <c r="C280" s="242"/>
      <c r="D280" s="242"/>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AY280" s="158"/>
      <c r="AZ280" s="158"/>
      <c r="BA280" s="158"/>
      <c r="BB280" s="158"/>
      <c r="BC280" s="158"/>
      <c r="BD280" s="158"/>
      <c r="BE280" s="158"/>
      <c r="BF280" s="158"/>
      <c r="BG280" s="158"/>
      <c r="BH280" s="158"/>
      <c r="BI280" s="158"/>
      <c r="BJ280" s="158"/>
      <c r="BK280" s="158"/>
      <c r="BL280" s="158"/>
      <c r="BM280" s="158"/>
      <c r="BN280" s="158"/>
      <c r="BO280" s="158"/>
      <c r="BP280" s="158"/>
      <c r="BQ280" s="158"/>
      <c r="BR280" s="158"/>
    </row>
    <row r="281">
      <c r="A281" s="158"/>
      <c r="B281" s="231"/>
      <c r="C281" s="242"/>
      <c r="D281" s="242"/>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row>
    <row r="282">
      <c r="A282" s="158"/>
      <c r="B282" s="231"/>
      <c r="C282" s="242"/>
      <c r="D282" s="242"/>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row>
    <row r="283">
      <c r="A283" s="158"/>
      <c r="B283" s="231"/>
      <c r="C283" s="242"/>
      <c r="D283" s="242"/>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row>
    <row r="284">
      <c r="A284" s="158"/>
      <c r="B284" s="231"/>
      <c r="C284" s="242"/>
      <c r="D284" s="242"/>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row>
    <row r="285">
      <c r="A285" s="158"/>
      <c r="B285" s="231"/>
      <c r="C285" s="242"/>
      <c r="D285" s="242"/>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c r="BF285" s="158"/>
      <c r="BG285" s="158"/>
      <c r="BH285" s="158"/>
      <c r="BI285" s="158"/>
      <c r="BJ285" s="158"/>
      <c r="BK285" s="158"/>
      <c r="BL285" s="158"/>
      <c r="BM285" s="158"/>
      <c r="BN285" s="158"/>
      <c r="BO285" s="158"/>
      <c r="BP285" s="158"/>
      <c r="BQ285" s="158"/>
      <c r="BR285" s="158"/>
    </row>
    <row r="286">
      <c r="A286" s="158"/>
      <c r="B286" s="231"/>
      <c r="C286" s="242"/>
      <c r="D286" s="242"/>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AY286" s="158"/>
      <c r="AZ286" s="158"/>
      <c r="BA286" s="158"/>
      <c r="BB286" s="158"/>
      <c r="BC286" s="158"/>
      <c r="BD286" s="158"/>
      <c r="BE286" s="158"/>
      <c r="BF286" s="158"/>
      <c r="BG286" s="158"/>
      <c r="BH286" s="158"/>
      <c r="BI286" s="158"/>
      <c r="BJ286" s="158"/>
      <c r="BK286" s="158"/>
      <c r="BL286" s="158"/>
      <c r="BM286" s="158"/>
      <c r="BN286" s="158"/>
      <c r="BO286" s="158"/>
      <c r="BP286" s="158"/>
      <c r="BQ286" s="158"/>
      <c r="BR286" s="158"/>
    </row>
    <row r="287">
      <c r="A287" s="158"/>
      <c r="B287" s="231"/>
      <c r="C287" s="242"/>
      <c r="D287" s="242"/>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row>
    <row r="288">
      <c r="A288" s="158"/>
      <c r="B288" s="231"/>
      <c r="C288" s="242"/>
      <c r="D288" s="242"/>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row>
    <row r="289">
      <c r="A289" s="158"/>
      <c r="B289" s="231"/>
      <c r="C289" s="242"/>
      <c r="D289" s="242"/>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row>
    <row r="290">
      <c r="A290" s="158"/>
      <c r="B290" s="231"/>
      <c r="C290" s="242"/>
      <c r="D290" s="242"/>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row>
    <row r="291">
      <c r="A291" s="158"/>
      <c r="B291" s="231"/>
      <c r="C291" s="242"/>
      <c r="D291" s="242"/>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N291" s="158"/>
      <c r="BO291" s="158"/>
      <c r="BP291" s="158"/>
      <c r="BQ291" s="158"/>
      <c r="BR291" s="158"/>
    </row>
    <row r="292">
      <c r="A292" s="158"/>
      <c r="B292" s="231"/>
      <c r="C292" s="242"/>
      <c r="D292" s="242"/>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row>
    <row r="293">
      <c r="A293" s="158"/>
      <c r="B293" s="231"/>
      <c r="C293" s="242"/>
      <c r="D293" s="242"/>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row>
    <row r="294">
      <c r="A294" s="158"/>
      <c r="B294" s="231"/>
      <c r="C294" s="242"/>
      <c r="D294" s="242"/>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row>
    <row r="295">
      <c r="A295" s="158"/>
      <c r="B295" s="231"/>
      <c r="C295" s="242"/>
      <c r="D295" s="242"/>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row>
    <row r="296">
      <c r="A296" s="158"/>
      <c r="B296" s="231"/>
      <c r="C296" s="242"/>
      <c r="D296" s="242"/>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row>
    <row r="297">
      <c r="A297" s="158"/>
      <c r="B297" s="231"/>
      <c r="C297" s="242"/>
      <c r="D297" s="242"/>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AY297" s="158"/>
      <c r="AZ297" s="158"/>
      <c r="BA297" s="158"/>
      <c r="BB297" s="158"/>
      <c r="BC297" s="158"/>
      <c r="BD297" s="158"/>
      <c r="BE297" s="158"/>
      <c r="BF297" s="158"/>
      <c r="BG297" s="158"/>
      <c r="BH297" s="158"/>
      <c r="BI297" s="158"/>
      <c r="BJ297" s="158"/>
      <c r="BK297" s="158"/>
      <c r="BL297" s="158"/>
      <c r="BM297" s="158"/>
      <c r="BN297" s="158"/>
      <c r="BO297" s="158"/>
      <c r="BP297" s="158"/>
      <c r="BQ297" s="158"/>
      <c r="BR297" s="158"/>
    </row>
    <row r="298">
      <c r="A298" s="158"/>
      <c r="B298" s="231"/>
      <c r="C298" s="242"/>
      <c r="D298" s="242"/>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AY298" s="158"/>
      <c r="AZ298" s="158"/>
      <c r="BA298" s="158"/>
      <c r="BB298" s="158"/>
      <c r="BC298" s="158"/>
      <c r="BD298" s="158"/>
      <c r="BE298" s="158"/>
      <c r="BF298" s="158"/>
      <c r="BG298" s="158"/>
      <c r="BH298" s="158"/>
      <c r="BI298" s="158"/>
      <c r="BJ298" s="158"/>
      <c r="BK298" s="158"/>
      <c r="BL298" s="158"/>
      <c r="BM298" s="158"/>
      <c r="BN298" s="158"/>
      <c r="BO298" s="158"/>
      <c r="BP298" s="158"/>
      <c r="BQ298" s="158"/>
      <c r="BR298" s="158"/>
    </row>
    <row r="299">
      <c r="A299" s="158"/>
      <c r="B299" s="231"/>
      <c r="C299" s="242"/>
      <c r="D299" s="242"/>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row>
    <row r="300">
      <c r="A300" s="158"/>
      <c r="B300" s="231"/>
      <c r="C300" s="242"/>
      <c r="D300" s="242"/>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row>
    <row r="301">
      <c r="A301" s="158"/>
      <c r="B301" s="231"/>
      <c r="C301" s="242"/>
      <c r="D301" s="242"/>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row>
    <row r="302">
      <c r="A302" s="158"/>
      <c r="B302" s="231"/>
      <c r="C302" s="242"/>
      <c r="D302" s="242"/>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row>
    <row r="303">
      <c r="A303" s="158"/>
      <c r="B303" s="231"/>
      <c r="C303" s="242"/>
      <c r="D303" s="242"/>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Y303" s="158"/>
      <c r="AZ303" s="158"/>
      <c r="BA303" s="158"/>
      <c r="BB303" s="158"/>
      <c r="BC303" s="158"/>
      <c r="BD303" s="158"/>
      <c r="BE303" s="158"/>
      <c r="BF303" s="158"/>
      <c r="BG303" s="158"/>
      <c r="BH303" s="158"/>
      <c r="BI303" s="158"/>
      <c r="BJ303" s="158"/>
      <c r="BK303" s="158"/>
      <c r="BL303" s="158"/>
      <c r="BM303" s="158"/>
      <c r="BN303" s="158"/>
      <c r="BO303" s="158"/>
      <c r="BP303" s="158"/>
      <c r="BQ303" s="158"/>
      <c r="BR303" s="158"/>
    </row>
    <row r="304">
      <c r="A304" s="158"/>
      <c r="B304" s="231"/>
      <c r="C304" s="242"/>
      <c r="D304" s="242"/>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Y304" s="158"/>
      <c r="AZ304" s="158"/>
      <c r="BA304" s="158"/>
      <c r="BB304" s="158"/>
      <c r="BC304" s="158"/>
      <c r="BD304" s="158"/>
      <c r="BE304" s="158"/>
      <c r="BF304" s="158"/>
      <c r="BG304" s="158"/>
      <c r="BH304" s="158"/>
      <c r="BI304" s="158"/>
      <c r="BJ304" s="158"/>
      <c r="BK304" s="158"/>
      <c r="BL304" s="158"/>
      <c r="BM304" s="158"/>
      <c r="BN304" s="158"/>
      <c r="BO304" s="158"/>
      <c r="BP304" s="158"/>
      <c r="BQ304" s="158"/>
      <c r="BR304" s="158"/>
    </row>
    <row r="305">
      <c r="A305" s="158"/>
      <c r="B305" s="231"/>
      <c r="C305" s="242"/>
      <c r="D305" s="242"/>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row>
    <row r="306">
      <c r="A306" s="158"/>
      <c r="B306" s="231"/>
      <c r="C306" s="242"/>
      <c r="D306" s="242"/>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row>
    <row r="307">
      <c r="A307" s="158"/>
      <c r="B307" s="231"/>
      <c r="C307" s="242"/>
      <c r="D307" s="242"/>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row>
    <row r="308">
      <c r="A308" s="158"/>
      <c r="B308" s="231"/>
      <c r="C308" s="242"/>
      <c r="D308" s="242"/>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row>
    <row r="309">
      <c r="A309" s="158"/>
      <c r="B309" s="231"/>
      <c r="C309" s="242"/>
      <c r="D309" s="242"/>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Y309" s="158"/>
      <c r="AZ309" s="158"/>
      <c r="BA309" s="158"/>
      <c r="BB309" s="158"/>
      <c r="BC309" s="158"/>
      <c r="BD309" s="158"/>
      <c r="BE309" s="158"/>
      <c r="BF309" s="158"/>
      <c r="BG309" s="158"/>
      <c r="BH309" s="158"/>
      <c r="BI309" s="158"/>
      <c r="BJ309" s="158"/>
      <c r="BK309" s="158"/>
      <c r="BL309" s="158"/>
      <c r="BM309" s="158"/>
      <c r="BN309" s="158"/>
      <c r="BO309" s="158"/>
      <c r="BP309" s="158"/>
      <c r="BQ309" s="158"/>
      <c r="BR309" s="158"/>
    </row>
    <row r="310">
      <c r="A310" s="158"/>
      <c r="B310" s="231"/>
      <c r="C310" s="242"/>
      <c r="D310" s="242"/>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Y310" s="158"/>
      <c r="AZ310" s="158"/>
      <c r="BA310" s="158"/>
      <c r="BB310" s="158"/>
      <c r="BC310" s="158"/>
      <c r="BD310" s="158"/>
      <c r="BE310" s="158"/>
      <c r="BF310" s="158"/>
      <c r="BG310" s="158"/>
      <c r="BH310" s="158"/>
      <c r="BI310" s="158"/>
      <c r="BJ310" s="158"/>
      <c r="BK310" s="158"/>
      <c r="BL310" s="158"/>
      <c r="BM310" s="158"/>
      <c r="BN310" s="158"/>
      <c r="BO310" s="158"/>
      <c r="BP310" s="158"/>
      <c r="BQ310" s="158"/>
      <c r="BR310" s="158"/>
    </row>
    <row r="311">
      <c r="A311" s="158"/>
      <c r="B311" s="231"/>
      <c r="C311" s="242"/>
      <c r="D311" s="242"/>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row>
    <row r="312">
      <c r="A312" s="158"/>
      <c r="B312" s="231"/>
      <c r="C312" s="242"/>
      <c r="D312" s="242"/>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row>
    <row r="313">
      <c r="A313" s="158"/>
      <c r="B313" s="231"/>
      <c r="C313" s="242"/>
      <c r="D313" s="242"/>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row>
    <row r="314">
      <c r="A314" s="158"/>
      <c r="B314" s="231"/>
      <c r="C314" s="242"/>
      <c r="D314" s="242"/>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row>
    <row r="315">
      <c r="A315" s="158"/>
      <c r="B315" s="231"/>
      <c r="C315" s="242"/>
      <c r="D315" s="242"/>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Y315" s="158"/>
      <c r="AZ315" s="158"/>
      <c r="BA315" s="158"/>
      <c r="BB315" s="158"/>
      <c r="BC315" s="158"/>
      <c r="BD315" s="158"/>
      <c r="BE315" s="158"/>
      <c r="BF315" s="158"/>
      <c r="BG315" s="158"/>
      <c r="BH315" s="158"/>
      <c r="BI315" s="158"/>
      <c r="BJ315" s="158"/>
      <c r="BK315" s="158"/>
      <c r="BL315" s="158"/>
      <c r="BM315" s="158"/>
      <c r="BN315" s="158"/>
      <c r="BO315" s="158"/>
      <c r="BP315" s="158"/>
      <c r="BQ315" s="158"/>
      <c r="BR315" s="158"/>
    </row>
    <row r="316">
      <c r="A316" s="158"/>
      <c r="B316" s="231"/>
      <c r="C316" s="242"/>
      <c r="D316" s="242"/>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Y316" s="158"/>
      <c r="AZ316" s="158"/>
      <c r="BA316" s="158"/>
      <c r="BB316" s="158"/>
      <c r="BC316" s="158"/>
      <c r="BD316" s="158"/>
      <c r="BE316" s="158"/>
      <c r="BF316" s="158"/>
      <c r="BG316" s="158"/>
      <c r="BH316" s="158"/>
      <c r="BI316" s="158"/>
      <c r="BJ316" s="158"/>
      <c r="BK316" s="158"/>
      <c r="BL316" s="158"/>
      <c r="BM316" s="158"/>
      <c r="BN316" s="158"/>
      <c r="BO316" s="158"/>
      <c r="BP316" s="158"/>
      <c r="BQ316" s="158"/>
      <c r="BR316" s="158"/>
    </row>
    <row r="317">
      <c r="A317" s="158"/>
      <c r="B317" s="231"/>
      <c r="C317" s="242"/>
      <c r="D317" s="242"/>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row>
    <row r="318">
      <c r="A318" s="158"/>
      <c r="B318" s="231"/>
      <c r="C318" s="242"/>
      <c r="D318" s="242"/>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row>
    <row r="319">
      <c r="A319" s="158"/>
      <c r="B319" s="231"/>
      <c r="C319" s="242"/>
      <c r="D319" s="242"/>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row>
    <row r="320">
      <c r="A320" s="158"/>
      <c r="B320" s="231"/>
      <c r="C320" s="242"/>
      <c r="D320" s="242"/>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row>
    <row r="321">
      <c r="A321" s="158"/>
      <c r="B321" s="231"/>
      <c r="C321" s="242"/>
      <c r="D321" s="242"/>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Y321" s="158"/>
      <c r="AZ321" s="158"/>
      <c r="BA321" s="158"/>
      <c r="BB321" s="158"/>
      <c r="BC321" s="158"/>
      <c r="BD321" s="158"/>
      <c r="BE321" s="158"/>
      <c r="BF321" s="158"/>
      <c r="BG321" s="158"/>
      <c r="BH321" s="158"/>
      <c r="BI321" s="158"/>
      <c r="BJ321" s="158"/>
      <c r="BK321" s="158"/>
      <c r="BL321" s="158"/>
      <c r="BM321" s="158"/>
      <c r="BN321" s="158"/>
      <c r="BO321" s="158"/>
      <c r="BP321" s="158"/>
      <c r="BQ321" s="158"/>
      <c r="BR321" s="158"/>
    </row>
    <row r="322">
      <c r="A322" s="158"/>
      <c r="B322" s="231"/>
      <c r="C322" s="242"/>
      <c r="D322" s="242"/>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row>
    <row r="323">
      <c r="A323" s="158"/>
      <c r="B323" s="231"/>
      <c r="C323" s="242"/>
      <c r="D323" s="242"/>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row>
    <row r="324">
      <c r="A324" s="158"/>
      <c r="B324" s="231"/>
      <c r="C324" s="242"/>
      <c r="D324" s="242"/>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row>
    <row r="325">
      <c r="A325" s="158"/>
      <c r="B325" s="231"/>
      <c r="C325" s="242"/>
      <c r="D325" s="242"/>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row>
    <row r="326">
      <c r="A326" s="158"/>
      <c r="B326" s="231"/>
      <c r="C326" s="242"/>
      <c r="D326" s="242"/>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row>
    <row r="327">
      <c r="A327" s="158"/>
      <c r="B327" s="231"/>
      <c r="C327" s="242"/>
      <c r="D327" s="242"/>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Y327" s="158"/>
      <c r="AZ327" s="158"/>
      <c r="BA327" s="158"/>
      <c r="BB327" s="158"/>
      <c r="BC327" s="158"/>
      <c r="BD327" s="158"/>
      <c r="BE327" s="158"/>
      <c r="BF327" s="158"/>
      <c r="BG327" s="158"/>
      <c r="BH327" s="158"/>
      <c r="BI327" s="158"/>
      <c r="BJ327" s="158"/>
      <c r="BK327" s="158"/>
      <c r="BL327" s="158"/>
      <c r="BM327" s="158"/>
      <c r="BN327" s="158"/>
      <c r="BO327" s="158"/>
      <c r="BP327" s="158"/>
      <c r="BQ327" s="158"/>
      <c r="BR327" s="158"/>
    </row>
    <row r="328">
      <c r="A328" s="158"/>
      <c r="B328" s="231"/>
      <c r="C328" s="242"/>
      <c r="D328" s="242"/>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Y328" s="158"/>
      <c r="AZ328" s="158"/>
      <c r="BA328" s="158"/>
      <c r="BB328" s="158"/>
      <c r="BC328" s="158"/>
      <c r="BD328" s="158"/>
      <c r="BE328" s="158"/>
      <c r="BF328" s="158"/>
      <c r="BG328" s="158"/>
      <c r="BH328" s="158"/>
      <c r="BI328" s="158"/>
      <c r="BJ328" s="158"/>
      <c r="BK328" s="158"/>
      <c r="BL328" s="158"/>
      <c r="BM328" s="158"/>
      <c r="BN328" s="158"/>
      <c r="BO328" s="158"/>
      <c r="BP328" s="158"/>
      <c r="BQ328" s="158"/>
      <c r="BR328" s="158"/>
    </row>
    <row r="329">
      <c r="A329" s="158"/>
      <c r="B329" s="231"/>
      <c r="C329" s="242"/>
      <c r="D329" s="242"/>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row>
    <row r="330">
      <c r="A330" s="158"/>
      <c r="B330" s="231"/>
      <c r="C330" s="242"/>
      <c r="D330" s="242"/>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row>
    <row r="331">
      <c r="A331" s="158"/>
      <c r="B331" s="231"/>
      <c r="C331" s="242"/>
      <c r="D331" s="242"/>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row>
    <row r="332">
      <c r="A332" s="158"/>
      <c r="B332" s="231"/>
      <c r="C332" s="242"/>
      <c r="D332" s="242"/>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row>
    <row r="333">
      <c r="A333" s="158"/>
      <c r="B333" s="231"/>
      <c r="C333" s="242"/>
      <c r="D333" s="242"/>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Y333" s="158"/>
      <c r="AZ333" s="158"/>
      <c r="BA333" s="158"/>
      <c r="BB333" s="158"/>
      <c r="BC333" s="158"/>
      <c r="BD333" s="158"/>
      <c r="BE333" s="158"/>
      <c r="BF333" s="158"/>
      <c r="BG333" s="158"/>
      <c r="BH333" s="158"/>
      <c r="BI333" s="158"/>
      <c r="BJ333" s="158"/>
      <c r="BK333" s="158"/>
      <c r="BL333" s="158"/>
      <c r="BM333" s="158"/>
      <c r="BN333" s="158"/>
      <c r="BO333" s="158"/>
      <c r="BP333" s="158"/>
      <c r="BQ333" s="158"/>
      <c r="BR333" s="158"/>
    </row>
    <row r="334">
      <c r="A334" s="158"/>
      <c r="B334" s="231"/>
      <c r="C334" s="242"/>
      <c r="D334" s="242"/>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Y334" s="158"/>
      <c r="AZ334" s="158"/>
      <c r="BA334" s="158"/>
      <c r="BB334" s="158"/>
      <c r="BC334" s="158"/>
      <c r="BD334" s="158"/>
      <c r="BE334" s="158"/>
      <c r="BF334" s="158"/>
      <c r="BG334" s="158"/>
      <c r="BH334" s="158"/>
      <c r="BI334" s="158"/>
      <c r="BJ334" s="158"/>
      <c r="BK334" s="158"/>
      <c r="BL334" s="158"/>
      <c r="BM334" s="158"/>
      <c r="BN334" s="158"/>
      <c r="BO334" s="158"/>
      <c r="BP334" s="158"/>
      <c r="BQ334" s="158"/>
      <c r="BR334" s="158"/>
    </row>
    <row r="335">
      <c r="A335" s="158"/>
      <c r="B335" s="231"/>
      <c r="C335" s="242"/>
      <c r="D335" s="242"/>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row>
    <row r="336">
      <c r="A336" s="158"/>
      <c r="B336" s="231"/>
      <c r="C336" s="242"/>
      <c r="D336" s="242"/>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row>
    <row r="337">
      <c r="A337" s="158"/>
      <c r="B337" s="231"/>
      <c r="C337" s="242"/>
      <c r="D337" s="242"/>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row>
    <row r="338">
      <c r="A338" s="158"/>
      <c r="B338" s="231"/>
      <c r="C338" s="242"/>
      <c r="D338" s="242"/>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row>
    <row r="339">
      <c r="A339" s="158"/>
      <c r="B339" s="231"/>
      <c r="C339" s="242"/>
      <c r="D339" s="242"/>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row>
    <row r="340">
      <c r="A340" s="158"/>
      <c r="B340" s="231"/>
      <c r="C340" s="242"/>
      <c r="D340" s="242"/>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row>
    <row r="341">
      <c r="A341" s="158"/>
      <c r="B341" s="231"/>
      <c r="C341" s="242"/>
      <c r="D341" s="242"/>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row>
    <row r="342">
      <c r="A342" s="158"/>
      <c r="B342" s="231"/>
      <c r="C342" s="242"/>
      <c r="D342" s="242"/>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row>
    <row r="343">
      <c r="A343" s="158"/>
      <c r="B343" s="231"/>
      <c r="C343" s="242"/>
      <c r="D343" s="242"/>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row>
    <row r="344">
      <c r="A344" s="158"/>
      <c r="B344" s="231"/>
      <c r="C344" s="242"/>
      <c r="D344" s="242"/>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row>
    <row r="345">
      <c r="A345" s="158"/>
      <c r="B345" s="231"/>
      <c r="C345" s="242"/>
      <c r="D345" s="242"/>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AY345" s="158"/>
      <c r="AZ345" s="158"/>
      <c r="BA345" s="158"/>
      <c r="BB345" s="158"/>
      <c r="BC345" s="158"/>
      <c r="BD345" s="158"/>
      <c r="BE345" s="158"/>
      <c r="BF345" s="158"/>
      <c r="BG345" s="158"/>
      <c r="BH345" s="158"/>
      <c r="BI345" s="158"/>
      <c r="BJ345" s="158"/>
      <c r="BK345" s="158"/>
      <c r="BL345" s="158"/>
      <c r="BM345" s="158"/>
      <c r="BN345" s="158"/>
      <c r="BO345" s="158"/>
      <c r="BP345" s="158"/>
      <c r="BQ345" s="158"/>
      <c r="BR345" s="158"/>
    </row>
    <row r="346">
      <c r="A346" s="158"/>
      <c r="B346" s="231"/>
      <c r="C346" s="242"/>
      <c r="D346" s="242"/>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AY346" s="158"/>
      <c r="AZ346" s="158"/>
      <c r="BA346" s="158"/>
      <c r="BB346" s="158"/>
      <c r="BC346" s="158"/>
      <c r="BD346" s="158"/>
      <c r="BE346" s="158"/>
      <c r="BF346" s="158"/>
      <c r="BG346" s="158"/>
      <c r="BH346" s="158"/>
      <c r="BI346" s="158"/>
      <c r="BJ346" s="158"/>
      <c r="BK346" s="158"/>
      <c r="BL346" s="158"/>
      <c r="BM346" s="158"/>
      <c r="BN346" s="158"/>
      <c r="BO346" s="158"/>
      <c r="BP346" s="158"/>
      <c r="BQ346" s="158"/>
      <c r="BR346" s="158"/>
    </row>
    <row r="347">
      <c r="A347" s="158"/>
      <c r="B347" s="231"/>
      <c r="C347" s="242"/>
      <c r="D347" s="242"/>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row>
    <row r="348">
      <c r="A348" s="158"/>
      <c r="B348" s="231"/>
      <c r="C348" s="242"/>
      <c r="D348" s="242"/>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row>
    <row r="349">
      <c r="A349" s="158"/>
      <c r="B349" s="231"/>
      <c r="C349" s="242"/>
      <c r="D349" s="242"/>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row>
    <row r="350">
      <c r="A350" s="158"/>
      <c r="B350" s="231"/>
      <c r="C350" s="242"/>
      <c r="D350" s="242"/>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row>
    <row r="351">
      <c r="A351" s="158"/>
      <c r="B351" s="231"/>
      <c r="C351" s="242"/>
      <c r="D351" s="242"/>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row>
    <row r="352">
      <c r="A352" s="158"/>
      <c r="B352" s="231"/>
      <c r="C352" s="242"/>
      <c r="D352" s="242"/>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AY352" s="158"/>
      <c r="AZ352" s="158"/>
      <c r="BA352" s="158"/>
      <c r="BB352" s="158"/>
      <c r="BC352" s="158"/>
      <c r="BD352" s="158"/>
      <c r="BE352" s="158"/>
      <c r="BF352" s="158"/>
      <c r="BG352" s="158"/>
      <c r="BH352" s="158"/>
      <c r="BI352" s="158"/>
      <c r="BJ352" s="158"/>
      <c r="BK352" s="158"/>
      <c r="BL352" s="158"/>
      <c r="BM352" s="158"/>
      <c r="BN352" s="158"/>
      <c r="BO352" s="158"/>
      <c r="BP352" s="158"/>
      <c r="BQ352" s="158"/>
      <c r="BR352" s="158"/>
    </row>
    <row r="353">
      <c r="A353" s="158"/>
      <c r="B353" s="231"/>
      <c r="C353" s="242"/>
      <c r="D353" s="242"/>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row>
    <row r="354">
      <c r="A354" s="158"/>
      <c r="B354" s="231"/>
      <c r="C354" s="242"/>
      <c r="D354" s="242"/>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row>
    <row r="355">
      <c r="A355" s="158"/>
      <c r="B355" s="231"/>
      <c r="C355" s="242"/>
      <c r="D355" s="242"/>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row>
    <row r="356">
      <c r="A356" s="158"/>
      <c r="B356" s="231"/>
      <c r="C356" s="242"/>
      <c r="D356" s="242"/>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row>
    <row r="357">
      <c r="A357" s="158"/>
      <c r="B357" s="231"/>
      <c r="C357" s="242"/>
      <c r="D357" s="242"/>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AY357" s="158"/>
      <c r="AZ357" s="158"/>
      <c r="BA357" s="158"/>
      <c r="BB357" s="158"/>
      <c r="BC357" s="158"/>
      <c r="BD357" s="158"/>
      <c r="BE357" s="158"/>
      <c r="BF357" s="158"/>
      <c r="BG357" s="158"/>
      <c r="BH357" s="158"/>
      <c r="BI357" s="158"/>
      <c r="BJ357" s="158"/>
      <c r="BK357" s="158"/>
      <c r="BL357" s="158"/>
      <c r="BM357" s="158"/>
      <c r="BN357" s="158"/>
      <c r="BO357" s="158"/>
      <c r="BP357" s="158"/>
      <c r="BQ357" s="158"/>
      <c r="BR357" s="158"/>
    </row>
    <row r="358">
      <c r="A358" s="158"/>
      <c r="B358" s="231"/>
      <c r="C358" s="242"/>
      <c r="D358" s="242"/>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AY358" s="158"/>
      <c r="AZ358" s="158"/>
      <c r="BA358" s="158"/>
      <c r="BB358" s="158"/>
      <c r="BC358" s="158"/>
      <c r="BD358" s="158"/>
      <c r="BE358" s="158"/>
      <c r="BF358" s="158"/>
      <c r="BG358" s="158"/>
      <c r="BH358" s="158"/>
      <c r="BI358" s="158"/>
      <c r="BJ358" s="158"/>
      <c r="BK358" s="158"/>
      <c r="BL358" s="158"/>
      <c r="BM358" s="158"/>
      <c r="BN358" s="158"/>
      <c r="BO358" s="158"/>
      <c r="BP358" s="158"/>
      <c r="BQ358" s="158"/>
      <c r="BR358" s="158"/>
    </row>
    <row r="359">
      <c r="A359" s="158"/>
      <c r="B359" s="231"/>
      <c r="C359" s="242"/>
      <c r="D359" s="242"/>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row>
    <row r="360">
      <c r="A360" s="158"/>
      <c r="B360" s="231"/>
      <c r="C360" s="242"/>
      <c r="D360" s="242"/>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row>
    <row r="361">
      <c r="A361" s="158"/>
      <c r="B361" s="231"/>
      <c r="C361" s="242"/>
      <c r="D361" s="242"/>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row>
    <row r="362">
      <c r="A362" s="158"/>
      <c r="B362" s="231"/>
      <c r="C362" s="242"/>
      <c r="D362" s="242"/>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row>
    <row r="363">
      <c r="A363" s="158"/>
      <c r="B363" s="231"/>
      <c r="C363" s="242"/>
      <c r="D363" s="242"/>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row>
    <row r="364">
      <c r="A364" s="158"/>
      <c r="B364" s="231"/>
      <c r="C364" s="242"/>
      <c r="D364" s="242"/>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Y364" s="158"/>
      <c r="AZ364" s="158"/>
      <c r="BA364" s="158"/>
      <c r="BB364" s="158"/>
      <c r="BC364" s="158"/>
      <c r="BD364" s="158"/>
      <c r="BE364" s="158"/>
      <c r="BF364" s="158"/>
      <c r="BG364" s="158"/>
      <c r="BH364" s="158"/>
      <c r="BI364" s="158"/>
      <c r="BJ364" s="158"/>
      <c r="BK364" s="158"/>
      <c r="BL364" s="158"/>
      <c r="BM364" s="158"/>
      <c r="BN364" s="158"/>
      <c r="BO364" s="158"/>
      <c r="BP364" s="158"/>
      <c r="BQ364" s="158"/>
      <c r="BR364" s="158"/>
    </row>
    <row r="365">
      <c r="A365" s="158"/>
      <c r="B365" s="231"/>
      <c r="C365" s="242"/>
      <c r="D365" s="242"/>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row>
    <row r="366">
      <c r="A366" s="158"/>
      <c r="B366" s="231"/>
      <c r="C366" s="242"/>
      <c r="D366" s="242"/>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c r="AW366" s="15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row>
    <row r="367">
      <c r="A367" s="158"/>
      <c r="B367" s="231"/>
      <c r="C367" s="242"/>
      <c r="D367" s="242"/>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row>
    <row r="368">
      <c r="A368" s="158"/>
      <c r="B368" s="231"/>
      <c r="C368" s="242"/>
      <c r="D368" s="242"/>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c r="AW368" s="15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row>
    <row r="369">
      <c r="A369" s="158"/>
      <c r="B369" s="231"/>
      <c r="C369" s="242"/>
      <c r="D369" s="242"/>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row>
    <row r="370">
      <c r="A370" s="158"/>
      <c r="B370" s="231"/>
      <c r="C370" s="242"/>
      <c r="D370" s="242"/>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c r="AW370" s="158"/>
      <c r="AX370" s="158"/>
      <c r="AY370" s="158"/>
      <c r="AZ370" s="158"/>
      <c r="BA370" s="158"/>
      <c r="BB370" s="158"/>
      <c r="BC370" s="158"/>
      <c r="BD370" s="158"/>
      <c r="BE370" s="158"/>
      <c r="BF370" s="158"/>
      <c r="BG370" s="158"/>
      <c r="BH370" s="158"/>
      <c r="BI370" s="158"/>
      <c r="BJ370" s="158"/>
      <c r="BK370" s="158"/>
      <c r="BL370" s="158"/>
      <c r="BM370" s="158"/>
      <c r="BN370" s="158"/>
      <c r="BO370" s="158"/>
      <c r="BP370" s="158"/>
      <c r="BQ370" s="158"/>
      <c r="BR370" s="158"/>
    </row>
    <row r="371">
      <c r="A371" s="158"/>
      <c r="B371" s="231"/>
      <c r="C371" s="242"/>
      <c r="D371" s="242"/>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row>
    <row r="372">
      <c r="A372" s="158"/>
      <c r="B372" s="231"/>
      <c r="C372" s="242"/>
      <c r="D372" s="242"/>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row>
    <row r="373">
      <c r="A373" s="158"/>
      <c r="B373" s="231"/>
      <c r="C373" s="242"/>
      <c r="D373" s="242"/>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row>
    <row r="374">
      <c r="A374" s="158"/>
      <c r="B374" s="231"/>
      <c r="C374" s="242"/>
      <c r="D374" s="242"/>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c r="AW374" s="15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row>
    <row r="375">
      <c r="A375" s="158"/>
      <c r="B375" s="231"/>
      <c r="C375" s="242"/>
      <c r="D375" s="242"/>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c r="AW375" s="158"/>
      <c r="AX375" s="158"/>
      <c r="AY375" s="158"/>
      <c r="AZ375" s="158"/>
      <c r="BA375" s="158"/>
      <c r="BB375" s="158"/>
      <c r="BC375" s="158"/>
      <c r="BD375" s="158"/>
      <c r="BE375" s="158"/>
      <c r="BF375" s="158"/>
      <c r="BG375" s="158"/>
      <c r="BH375" s="158"/>
      <c r="BI375" s="158"/>
      <c r="BJ375" s="158"/>
      <c r="BK375" s="158"/>
      <c r="BL375" s="158"/>
      <c r="BM375" s="158"/>
      <c r="BN375" s="158"/>
      <c r="BO375" s="158"/>
      <c r="BP375" s="158"/>
      <c r="BQ375" s="158"/>
      <c r="BR375" s="158"/>
    </row>
    <row r="376">
      <c r="A376" s="158"/>
      <c r="B376" s="231"/>
      <c r="C376" s="242"/>
      <c r="D376" s="242"/>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c r="AW376" s="158"/>
      <c r="AX376" s="158"/>
      <c r="AY376" s="158"/>
      <c r="AZ376" s="158"/>
      <c r="BA376" s="158"/>
      <c r="BB376" s="158"/>
      <c r="BC376" s="158"/>
      <c r="BD376" s="158"/>
      <c r="BE376" s="158"/>
      <c r="BF376" s="158"/>
      <c r="BG376" s="158"/>
      <c r="BH376" s="158"/>
      <c r="BI376" s="158"/>
      <c r="BJ376" s="158"/>
      <c r="BK376" s="158"/>
      <c r="BL376" s="158"/>
      <c r="BM376" s="158"/>
      <c r="BN376" s="158"/>
      <c r="BO376" s="158"/>
      <c r="BP376" s="158"/>
      <c r="BQ376" s="158"/>
      <c r="BR376" s="158"/>
    </row>
    <row r="377">
      <c r="A377" s="158"/>
      <c r="B377" s="231"/>
      <c r="C377" s="242"/>
      <c r="D377" s="242"/>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row>
    <row r="378">
      <c r="A378" s="158"/>
      <c r="B378" s="231"/>
      <c r="C378" s="242"/>
      <c r="D378" s="242"/>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c r="AW378" s="15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row>
    <row r="379">
      <c r="A379" s="158"/>
      <c r="B379" s="231"/>
      <c r="C379" s="242"/>
      <c r="D379" s="242"/>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c r="AW379" s="15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row>
    <row r="380">
      <c r="A380" s="158"/>
      <c r="B380" s="231"/>
      <c r="C380" s="242"/>
      <c r="D380" s="242"/>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row>
    <row r="381">
      <c r="A381" s="158"/>
      <c r="B381" s="231"/>
      <c r="C381" s="242"/>
      <c r="D381" s="242"/>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row>
    <row r="382">
      <c r="A382" s="158"/>
      <c r="B382" s="231"/>
      <c r="C382" s="242"/>
      <c r="D382" s="242"/>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c r="AW382" s="158"/>
      <c r="AX382" s="158"/>
      <c r="AY382" s="158"/>
      <c r="AZ382" s="158"/>
      <c r="BA382" s="158"/>
      <c r="BB382" s="158"/>
      <c r="BC382" s="158"/>
      <c r="BD382" s="158"/>
      <c r="BE382" s="158"/>
      <c r="BF382" s="158"/>
      <c r="BG382" s="158"/>
      <c r="BH382" s="158"/>
      <c r="BI382" s="158"/>
      <c r="BJ382" s="158"/>
      <c r="BK382" s="158"/>
      <c r="BL382" s="158"/>
      <c r="BM382" s="158"/>
      <c r="BN382" s="158"/>
      <c r="BO382" s="158"/>
      <c r="BP382" s="158"/>
      <c r="BQ382" s="158"/>
      <c r="BR382" s="158"/>
    </row>
    <row r="383">
      <c r="A383" s="158"/>
      <c r="B383" s="231"/>
      <c r="C383" s="242"/>
      <c r="D383" s="242"/>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c r="AW383" s="15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row>
    <row r="384">
      <c r="A384" s="158"/>
      <c r="B384" s="231"/>
      <c r="C384" s="242"/>
      <c r="D384" s="242"/>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c r="AW384" s="15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row>
    <row r="385">
      <c r="A385" s="158"/>
      <c r="B385" s="231"/>
      <c r="C385" s="242"/>
      <c r="D385" s="242"/>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c r="AW385" s="15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row>
    <row r="386">
      <c r="A386" s="158"/>
      <c r="B386" s="231"/>
      <c r="C386" s="242"/>
      <c r="D386" s="242"/>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row>
    <row r="387">
      <c r="A387" s="158"/>
      <c r="B387" s="231"/>
      <c r="C387" s="242"/>
      <c r="D387" s="242"/>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row>
    <row r="388">
      <c r="A388" s="158"/>
      <c r="B388" s="231"/>
      <c r="C388" s="242"/>
      <c r="D388" s="242"/>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c r="BF388" s="158"/>
      <c r="BG388" s="158"/>
      <c r="BH388" s="158"/>
      <c r="BI388" s="158"/>
      <c r="BJ388" s="158"/>
      <c r="BK388" s="158"/>
      <c r="BL388" s="158"/>
      <c r="BM388" s="158"/>
      <c r="BN388" s="158"/>
      <c r="BO388" s="158"/>
      <c r="BP388" s="158"/>
      <c r="BQ388" s="158"/>
      <c r="BR388" s="158"/>
    </row>
    <row r="389">
      <c r="A389" s="158"/>
      <c r="B389" s="231"/>
      <c r="C389" s="242"/>
      <c r="D389" s="242"/>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c r="AW389" s="15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row>
    <row r="390">
      <c r="A390" s="158"/>
      <c r="B390" s="231"/>
      <c r="C390" s="242"/>
      <c r="D390" s="242"/>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row>
    <row r="391">
      <c r="A391" s="158"/>
      <c r="B391" s="231"/>
      <c r="C391" s="242"/>
      <c r="D391" s="242"/>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c r="AW391" s="15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row>
    <row r="392">
      <c r="A392" s="158"/>
      <c r="B392" s="231"/>
      <c r="C392" s="242"/>
      <c r="D392" s="242"/>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c r="AW392" s="15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row>
    <row r="393">
      <c r="A393" s="158"/>
      <c r="B393" s="231"/>
      <c r="C393" s="242"/>
      <c r="D393" s="242"/>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c r="AW393" s="158"/>
      <c r="AX393" s="158"/>
      <c r="AY393" s="158"/>
      <c r="AZ393" s="158"/>
      <c r="BA393" s="158"/>
      <c r="BB393" s="158"/>
      <c r="BC393" s="158"/>
      <c r="BD393" s="158"/>
      <c r="BE393" s="158"/>
      <c r="BF393" s="158"/>
      <c r="BG393" s="158"/>
      <c r="BH393" s="158"/>
      <c r="BI393" s="158"/>
      <c r="BJ393" s="158"/>
      <c r="BK393" s="158"/>
      <c r="BL393" s="158"/>
      <c r="BM393" s="158"/>
      <c r="BN393" s="158"/>
      <c r="BO393" s="158"/>
      <c r="BP393" s="158"/>
      <c r="BQ393" s="158"/>
      <c r="BR393" s="158"/>
    </row>
    <row r="394">
      <c r="A394" s="158"/>
      <c r="B394" s="231"/>
      <c r="C394" s="242"/>
      <c r="D394" s="242"/>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c r="BF394" s="158"/>
      <c r="BG394" s="158"/>
      <c r="BH394" s="158"/>
      <c r="BI394" s="158"/>
      <c r="BJ394" s="158"/>
      <c r="BK394" s="158"/>
      <c r="BL394" s="158"/>
      <c r="BM394" s="158"/>
      <c r="BN394" s="158"/>
      <c r="BO394" s="158"/>
      <c r="BP394" s="158"/>
      <c r="BQ394" s="158"/>
      <c r="BR394" s="158"/>
    </row>
    <row r="395">
      <c r="A395" s="158"/>
      <c r="B395" s="231"/>
      <c r="C395" s="242"/>
      <c r="D395" s="242"/>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c r="AW395" s="15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row>
    <row r="396">
      <c r="A396" s="158"/>
      <c r="B396" s="231"/>
      <c r="C396" s="242"/>
      <c r="D396" s="242"/>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c r="AW396" s="15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row>
    <row r="397">
      <c r="A397" s="158"/>
      <c r="B397" s="231"/>
      <c r="C397" s="242"/>
      <c r="D397" s="242"/>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c r="AW397" s="15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row>
    <row r="398">
      <c r="A398" s="158"/>
      <c r="B398" s="231"/>
      <c r="C398" s="242"/>
      <c r="D398" s="242"/>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row>
    <row r="399">
      <c r="A399" s="158"/>
      <c r="B399" s="231"/>
      <c r="C399" s="242"/>
      <c r="D399" s="242"/>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c r="AW399" s="158"/>
      <c r="AX399" s="158"/>
      <c r="AY399" s="158"/>
      <c r="AZ399" s="158"/>
      <c r="BA399" s="158"/>
      <c r="BB399" s="158"/>
      <c r="BC399" s="158"/>
      <c r="BD399" s="158"/>
      <c r="BE399" s="158"/>
      <c r="BF399" s="158"/>
      <c r="BG399" s="158"/>
      <c r="BH399" s="158"/>
      <c r="BI399" s="158"/>
      <c r="BJ399" s="158"/>
      <c r="BK399" s="158"/>
      <c r="BL399" s="158"/>
      <c r="BM399" s="158"/>
      <c r="BN399" s="158"/>
      <c r="BO399" s="158"/>
      <c r="BP399" s="158"/>
      <c r="BQ399" s="158"/>
      <c r="BR399" s="158"/>
    </row>
    <row r="400">
      <c r="A400" s="158"/>
      <c r="B400" s="231"/>
      <c r="C400" s="242"/>
      <c r="D400" s="242"/>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c r="BF400" s="158"/>
      <c r="BG400" s="158"/>
      <c r="BH400" s="158"/>
      <c r="BI400" s="158"/>
      <c r="BJ400" s="158"/>
      <c r="BK400" s="158"/>
      <c r="BL400" s="158"/>
      <c r="BM400" s="158"/>
      <c r="BN400" s="158"/>
      <c r="BO400" s="158"/>
      <c r="BP400" s="158"/>
      <c r="BQ400" s="158"/>
      <c r="BR400" s="158"/>
    </row>
    <row r="401">
      <c r="A401" s="158"/>
      <c r="B401" s="231"/>
      <c r="C401" s="242"/>
      <c r="D401" s="242"/>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c r="AW401" s="15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row>
    <row r="402">
      <c r="A402" s="158"/>
      <c r="B402" s="231"/>
      <c r="C402" s="242"/>
      <c r="D402" s="242"/>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row>
    <row r="403">
      <c r="A403" s="158"/>
      <c r="B403" s="231"/>
      <c r="C403" s="242"/>
      <c r="D403" s="242"/>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row>
    <row r="404">
      <c r="A404" s="158"/>
      <c r="B404" s="231"/>
      <c r="C404" s="242"/>
      <c r="D404" s="242"/>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row>
    <row r="405">
      <c r="A405" s="158"/>
      <c r="B405" s="231"/>
      <c r="C405" s="242"/>
      <c r="D405" s="242"/>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c r="BF405" s="158"/>
      <c r="BG405" s="158"/>
      <c r="BH405" s="158"/>
      <c r="BI405" s="158"/>
      <c r="BJ405" s="158"/>
      <c r="BK405" s="158"/>
      <c r="BL405" s="158"/>
      <c r="BM405" s="158"/>
      <c r="BN405" s="158"/>
      <c r="BO405" s="158"/>
      <c r="BP405" s="158"/>
      <c r="BQ405" s="158"/>
      <c r="BR405" s="158"/>
    </row>
    <row r="406">
      <c r="A406" s="158"/>
      <c r="B406" s="231"/>
      <c r="C406" s="242"/>
      <c r="D406" s="242"/>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c r="BF406" s="158"/>
      <c r="BG406" s="158"/>
      <c r="BH406" s="158"/>
      <c r="BI406" s="158"/>
      <c r="BJ406" s="158"/>
      <c r="BK406" s="158"/>
      <c r="BL406" s="158"/>
      <c r="BM406" s="158"/>
      <c r="BN406" s="158"/>
      <c r="BO406" s="158"/>
      <c r="BP406" s="158"/>
      <c r="BQ406" s="158"/>
      <c r="BR406" s="158"/>
    </row>
    <row r="407">
      <c r="A407" s="158"/>
      <c r="B407" s="231"/>
      <c r="C407" s="242"/>
      <c r="D407" s="242"/>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row>
    <row r="408">
      <c r="A408" s="158"/>
      <c r="B408" s="231"/>
      <c r="C408" s="242"/>
      <c r="D408" s="242"/>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row>
    <row r="409">
      <c r="A409" s="158"/>
      <c r="B409" s="231"/>
      <c r="C409" s="242"/>
      <c r="D409" s="242"/>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c r="AW409" s="15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row>
    <row r="410">
      <c r="A410" s="158"/>
      <c r="B410" s="231"/>
      <c r="C410" s="242"/>
      <c r="D410" s="242"/>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row>
    <row r="411">
      <c r="A411" s="158"/>
      <c r="B411" s="231"/>
      <c r="C411" s="242"/>
      <c r="D411" s="242"/>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c r="AW411" s="158"/>
      <c r="AX411" s="158"/>
      <c r="AY411" s="158"/>
      <c r="AZ411" s="158"/>
      <c r="BA411" s="158"/>
      <c r="BB411" s="158"/>
      <c r="BC411" s="158"/>
      <c r="BD411" s="158"/>
      <c r="BE411" s="158"/>
      <c r="BF411" s="158"/>
      <c r="BG411" s="158"/>
      <c r="BH411" s="158"/>
      <c r="BI411" s="158"/>
      <c r="BJ411" s="158"/>
      <c r="BK411" s="158"/>
      <c r="BL411" s="158"/>
      <c r="BM411" s="158"/>
      <c r="BN411" s="158"/>
      <c r="BO411" s="158"/>
      <c r="BP411" s="158"/>
      <c r="BQ411" s="158"/>
      <c r="BR411" s="158"/>
    </row>
    <row r="412">
      <c r="A412" s="158"/>
      <c r="B412" s="231"/>
      <c r="C412" s="242"/>
      <c r="D412" s="242"/>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c r="AW412" s="158"/>
      <c r="AX412" s="158"/>
      <c r="AY412" s="158"/>
      <c r="AZ412" s="158"/>
      <c r="BA412" s="158"/>
      <c r="BB412" s="158"/>
      <c r="BC412" s="158"/>
      <c r="BD412" s="158"/>
      <c r="BE412" s="158"/>
      <c r="BF412" s="158"/>
      <c r="BG412" s="158"/>
      <c r="BH412" s="158"/>
      <c r="BI412" s="158"/>
      <c r="BJ412" s="158"/>
      <c r="BK412" s="158"/>
      <c r="BL412" s="158"/>
      <c r="BM412" s="158"/>
      <c r="BN412" s="158"/>
      <c r="BO412" s="158"/>
      <c r="BP412" s="158"/>
      <c r="BQ412" s="158"/>
      <c r="BR412" s="158"/>
    </row>
    <row r="413">
      <c r="A413" s="158"/>
      <c r="B413" s="231"/>
      <c r="C413" s="242"/>
      <c r="D413" s="242"/>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c r="AW413" s="15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row>
    <row r="414">
      <c r="A414" s="158"/>
      <c r="B414" s="231"/>
      <c r="C414" s="242"/>
      <c r="D414" s="242"/>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c r="AW414" s="15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row>
    <row r="415">
      <c r="A415" s="158"/>
      <c r="B415" s="231"/>
      <c r="C415" s="242"/>
      <c r="D415" s="242"/>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c r="AW415" s="15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row>
    <row r="416">
      <c r="A416" s="158"/>
      <c r="B416" s="231"/>
      <c r="C416" s="242"/>
      <c r="D416" s="242"/>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c r="AW416" s="15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row>
    <row r="417">
      <c r="A417" s="158"/>
      <c r="B417" s="231"/>
      <c r="C417" s="242"/>
      <c r="D417" s="242"/>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c r="AW417" s="158"/>
      <c r="AX417" s="158"/>
      <c r="AY417" s="158"/>
      <c r="AZ417" s="158"/>
      <c r="BA417" s="158"/>
      <c r="BB417" s="158"/>
      <c r="BC417" s="158"/>
      <c r="BD417" s="158"/>
      <c r="BE417" s="158"/>
      <c r="BF417" s="158"/>
      <c r="BG417" s="158"/>
      <c r="BH417" s="158"/>
      <c r="BI417" s="158"/>
      <c r="BJ417" s="158"/>
      <c r="BK417" s="158"/>
      <c r="BL417" s="158"/>
      <c r="BM417" s="158"/>
      <c r="BN417" s="158"/>
      <c r="BO417" s="158"/>
      <c r="BP417" s="158"/>
      <c r="BQ417" s="158"/>
      <c r="BR417" s="158"/>
    </row>
    <row r="418">
      <c r="A418" s="158"/>
      <c r="B418" s="231"/>
      <c r="C418" s="242"/>
      <c r="D418" s="242"/>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c r="AW418" s="158"/>
      <c r="AX418" s="158"/>
      <c r="AY418" s="158"/>
      <c r="AZ418" s="158"/>
      <c r="BA418" s="158"/>
      <c r="BB418" s="158"/>
      <c r="BC418" s="158"/>
      <c r="BD418" s="158"/>
      <c r="BE418" s="158"/>
      <c r="BF418" s="158"/>
      <c r="BG418" s="158"/>
      <c r="BH418" s="158"/>
      <c r="BI418" s="158"/>
      <c r="BJ418" s="158"/>
      <c r="BK418" s="158"/>
      <c r="BL418" s="158"/>
      <c r="BM418" s="158"/>
      <c r="BN418" s="158"/>
      <c r="BO418" s="158"/>
      <c r="BP418" s="158"/>
      <c r="BQ418" s="158"/>
      <c r="BR418" s="158"/>
    </row>
    <row r="419">
      <c r="A419" s="158"/>
      <c r="B419" s="231"/>
      <c r="C419" s="242"/>
      <c r="D419" s="242"/>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c r="AW419" s="15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row>
    <row r="420">
      <c r="A420" s="158"/>
      <c r="B420" s="231"/>
      <c r="C420" s="242"/>
      <c r="D420" s="242"/>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c r="AW420" s="15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row>
    <row r="421">
      <c r="A421" s="158"/>
      <c r="B421" s="231"/>
      <c r="C421" s="242"/>
      <c r="D421" s="242"/>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c r="AW421" s="15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row>
    <row r="422">
      <c r="A422" s="158"/>
      <c r="B422" s="231"/>
      <c r="C422" s="242"/>
      <c r="D422" s="242"/>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c r="AW422" s="15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row>
    <row r="423">
      <c r="A423" s="158"/>
      <c r="B423" s="231"/>
      <c r="C423" s="242"/>
      <c r="D423" s="242"/>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c r="BF423" s="158"/>
      <c r="BG423" s="158"/>
      <c r="BH423" s="158"/>
      <c r="BI423" s="158"/>
      <c r="BJ423" s="158"/>
      <c r="BK423" s="158"/>
      <c r="BL423" s="158"/>
      <c r="BM423" s="158"/>
      <c r="BN423" s="158"/>
      <c r="BO423" s="158"/>
      <c r="BP423" s="158"/>
      <c r="BQ423" s="158"/>
      <c r="BR423" s="158"/>
    </row>
    <row r="424">
      <c r="A424" s="158"/>
      <c r="B424" s="231"/>
      <c r="C424" s="242"/>
      <c r="D424" s="242"/>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c r="AW424" s="158"/>
      <c r="AX424" s="158"/>
      <c r="AY424" s="158"/>
      <c r="AZ424" s="158"/>
      <c r="BA424" s="158"/>
      <c r="BB424" s="158"/>
      <c r="BC424" s="158"/>
      <c r="BD424" s="158"/>
      <c r="BE424" s="158"/>
      <c r="BF424" s="158"/>
      <c r="BG424" s="158"/>
      <c r="BH424" s="158"/>
      <c r="BI424" s="158"/>
      <c r="BJ424" s="158"/>
      <c r="BK424" s="158"/>
      <c r="BL424" s="158"/>
      <c r="BM424" s="158"/>
      <c r="BN424" s="158"/>
      <c r="BO424" s="158"/>
      <c r="BP424" s="158"/>
      <c r="BQ424" s="158"/>
      <c r="BR424" s="158"/>
    </row>
    <row r="425">
      <c r="A425" s="158"/>
      <c r="B425" s="231"/>
      <c r="C425" s="242"/>
      <c r="D425" s="242"/>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c r="AW425" s="15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row>
    <row r="426">
      <c r="A426" s="158"/>
      <c r="B426" s="231"/>
      <c r="C426" s="242"/>
      <c r="D426" s="242"/>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c r="AW426" s="15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row>
    <row r="427">
      <c r="A427" s="158"/>
      <c r="B427" s="231"/>
      <c r="C427" s="242"/>
      <c r="D427" s="242"/>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c r="AW427" s="15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row>
    <row r="428">
      <c r="A428" s="158"/>
      <c r="B428" s="231"/>
      <c r="C428" s="242"/>
      <c r="D428" s="242"/>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c r="AW428" s="15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row>
    <row r="429">
      <c r="A429" s="158"/>
      <c r="B429" s="231"/>
      <c r="C429" s="242"/>
      <c r="D429" s="242"/>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c r="AW429" s="158"/>
      <c r="AX429" s="158"/>
      <c r="AY429" s="158"/>
      <c r="AZ429" s="158"/>
      <c r="BA429" s="158"/>
      <c r="BB429" s="158"/>
      <c r="BC429" s="158"/>
      <c r="BD429" s="158"/>
      <c r="BE429" s="158"/>
      <c r="BF429" s="158"/>
      <c r="BG429" s="158"/>
      <c r="BH429" s="158"/>
      <c r="BI429" s="158"/>
      <c r="BJ429" s="158"/>
      <c r="BK429" s="158"/>
      <c r="BL429" s="158"/>
      <c r="BM429" s="158"/>
      <c r="BN429" s="158"/>
      <c r="BO429" s="158"/>
      <c r="BP429" s="158"/>
      <c r="BQ429" s="158"/>
      <c r="BR429" s="158"/>
    </row>
    <row r="430">
      <c r="A430" s="158"/>
      <c r="B430" s="231"/>
      <c r="C430" s="242"/>
      <c r="D430" s="242"/>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c r="AW430" s="158"/>
      <c r="AX430" s="158"/>
      <c r="AY430" s="158"/>
      <c r="AZ430" s="158"/>
      <c r="BA430" s="158"/>
      <c r="BB430" s="158"/>
      <c r="BC430" s="158"/>
      <c r="BD430" s="158"/>
      <c r="BE430" s="158"/>
      <c r="BF430" s="158"/>
      <c r="BG430" s="158"/>
      <c r="BH430" s="158"/>
      <c r="BI430" s="158"/>
      <c r="BJ430" s="158"/>
      <c r="BK430" s="158"/>
      <c r="BL430" s="158"/>
      <c r="BM430" s="158"/>
      <c r="BN430" s="158"/>
      <c r="BO430" s="158"/>
      <c r="BP430" s="158"/>
      <c r="BQ430" s="158"/>
      <c r="BR430" s="158"/>
    </row>
    <row r="431">
      <c r="A431" s="158"/>
      <c r="B431" s="231"/>
      <c r="C431" s="242"/>
      <c r="D431" s="242"/>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c r="AW431" s="15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row>
    <row r="432">
      <c r="A432" s="158"/>
      <c r="B432" s="231"/>
      <c r="C432" s="242"/>
      <c r="D432" s="242"/>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c r="AW432" s="15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row>
    <row r="433">
      <c r="A433" s="158"/>
      <c r="B433" s="231"/>
      <c r="C433" s="242"/>
      <c r="D433" s="242"/>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c r="AW433" s="15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row>
    <row r="434">
      <c r="A434" s="158"/>
      <c r="B434" s="231"/>
      <c r="C434" s="242"/>
      <c r="D434" s="242"/>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c r="AW434" s="15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row>
    <row r="435">
      <c r="A435" s="158"/>
      <c r="B435" s="231"/>
      <c r="C435" s="242"/>
      <c r="D435" s="242"/>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row>
    <row r="436">
      <c r="A436" s="158"/>
      <c r="B436" s="231"/>
      <c r="C436" s="242"/>
      <c r="D436" s="242"/>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c r="AW436" s="158"/>
      <c r="AX436" s="158"/>
      <c r="AY436" s="158"/>
      <c r="AZ436" s="158"/>
      <c r="BA436" s="158"/>
      <c r="BB436" s="158"/>
      <c r="BC436" s="158"/>
      <c r="BD436" s="158"/>
      <c r="BE436" s="158"/>
      <c r="BF436" s="158"/>
      <c r="BG436" s="158"/>
      <c r="BH436" s="158"/>
      <c r="BI436" s="158"/>
      <c r="BJ436" s="158"/>
      <c r="BK436" s="158"/>
      <c r="BL436" s="158"/>
      <c r="BM436" s="158"/>
      <c r="BN436" s="158"/>
      <c r="BO436" s="158"/>
      <c r="BP436" s="158"/>
      <c r="BQ436" s="158"/>
      <c r="BR436" s="158"/>
    </row>
    <row r="437">
      <c r="A437" s="158"/>
      <c r="B437" s="231"/>
      <c r="C437" s="242"/>
      <c r="D437" s="242"/>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c r="AW437" s="15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row>
    <row r="438">
      <c r="A438" s="158"/>
      <c r="B438" s="231"/>
      <c r="C438" s="242"/>
      <c r="D438" s="242"/>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c r="AW438" s="15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row>
    <row r="439">
      <c r="A439" s="158"/>
      <c r="B439" s="231"/>
      <c r="C439" s="242"/>
      <c r="D439" s="242"/>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c r="AW439" s="15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row>
    <row r="440">
      <c r="A440" s="158"/>
      <c r="B440" s="231"/>
      <c r="C440" s="242"/>
      <c r="D440" s="242"/>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c r="AW440" s="15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row>
    <row r="441">
      <c r="A441" s="158"/>
      <c r="B441" s="231"/>
      <c r="C441" s="242"/>
      <c r="D441" s="242"/>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c r="AW441" s="158"/>
      <c r="AX441" s="158"/>
      <c r="AY441" s="158"/>
      <c r="AZ441" s="158"/>
      <c r="BA441" s="158"/>
      <c r="BB441" s="158"/>
      <c r="BC441" s="158"/>
      <c r="BD441" s="158"/>
      <c r="BE441" s="158"/>
      <c r="BF441" s="158"/>
      <c r="BG441" s="158"/>
      <c r="BH441" s="158"/>
      <c r="BI441" s="158"/>
      <c r="BJ441" s="158"/>
      <c r="BK441" s="158"/>
      <c r="BL441" s="158"/>
      <c r="BM441" s="158"/>
      <c r="BN441" s="158"/>
      <c r="BO441" s="158"/>
      <c r="BP441" s="158"/>
      <c r="BQ441" s="158"/>
      <c r="BR441" s="158"/>
    </row>
    <row r="442">
      <c r="A442" s="158"/>
      <c r="B442" s="231"/>
      <c r="C442" s="242"/>
      <c r="D442" s="242"/>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c r="AW442" s="158"/>
      <c r="AX442" s="158"/>
      <c r="AY442" s="158"/>
      <c r="AZ442" s="158"/>
      <c r="BA442" s="158"/>
      <c r="BB442" s="158"/>
      <c r="BC442" s="158"/>
      <c r="BD442" s="158"/>
      <c r="BE442" s="158"/>
      <c r="BF442" s="158"/>
      <c r="BG442" s="158"/>
      <c r="BH442" s="158"/>
      <c r="BI442" s="158"/>
      <c r="BJ442" s="158"/>
      <c r="BK442" s="158"/>
      <c r="BL442" s="158"/>
      <c r="BM442" s="158"/>
      <c r="BN442" s="158"/>
      <c r="BO442" s="158"/>
      <c r="BP442" s="158"/>
      <c r="BQ442" s="158"/>
      <c r="BR442" s="158"/>
    </row>
    <row r="443">
      <c r="A443" s="158"/>
      <c r="B443" s="231"/>
      <c r="C443" s="242"/>
      <c r="D443" s="242"/>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c r="AW443" s="15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row>
    <row r="444">
      <c r="A444" s="158"/>
      <c r="B444" s="231"/>
      <c r="C444" s="242"/>
      <c r="D444" s="242"/>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c r="AW444" s="15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row>
    <row r="445">
      <c r="A445" s="158"/>
      <c r="B445" s="231"/>
      <c r="C445" s="242"/>
      <c r="D445" s="242"/>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c r="AW445" s="15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row>
    <row r="446">
      <c r="A446" s="158"/>
      <c r="B446" s="231"/>
      <c r="C446" s="242"/>
      <c r="D446" s="242"/>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5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row>
    <row r="447">
      <c r="A447" s="158"/>
      <c r="B447" s="231"/>
      <c r="C447" s="242"/>
      <c r="D447" s="242"/>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c r="AW447" s="158"/>
      <c r="AX447" s="158"/>
      <c r="AY447" s="158"/>
      <c r="AZ447" s="158"/>
      <c r="BA447" s="158"/>
      <c r="BB447" s="158"/>
      <c r="BC447" s="158"/>
      <c r="BD447" s="158"/>
      <c r="BE447" s="158"/>
      <c r="BF447" s="158"/>
      <c r="BG447" s="158"/>
      <c r="BH447" s="158"/>
      <c r="BI447" s="158"/>
      <c r="BJ447" s="158"/>
      <c r="BK447" s="158"/>
      <c r="BL447" s="158"/>
      <c r="BM447" s="158"/>
      <c r="BN447" s="158"/>
      <c r="BO447" s="158"/>
      <c r="BP447" s="158"/>
      <c r="BQ447" s="158"/>
      <c r="BR447" s="158"/>
    </row>
    <row r="448">
      <c r="A448" s="158"/>
      <c r="B448" s="231"/>
      <c r="C448" s="242"/>
      <c r="D448" s="242"/>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c r="AW448" s="158"/>
      <c r="AX448" s="158"/>
      <c r="AY448" s="158"/>
      <c r="AZ448" s="158"/>
      <c r="BA448" s="158"/>
      <c r="BB448" s="158"/>
      <c r="BC448" s="158"/>
      <c r="BD448" s="158"/>
      <c r="BE448" s="158"/>
      <c r="BF448" s="158"/>
      <c r="BG448" s="158"/>
      <c r="BH448" s="158"/>
      <c r="BI448" s="158"/>
      <c r="BJ448" s="158"/>
      <c r="BK448" s="158"/>
      <c r="BL448" s="158"/>
      <c r="BM448" s="158"/>
      <c r="BN448" s="158"/>
      <c r="BO448" s="158"/>
      <c r="BP448" s="158"/>
      <c r="BQ448" s="158"/>
      <c r="BR448" s="158"/>
    </row>
    <row r="449">
      <c r="A449" s="158"/>
      <c r="B449" s="231"/>
      <c r="C449" s="242"/>
      <c r="D449" s="242"/>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c r="AW449" s="15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row>
    <row r="450">
      <c r="A450" s="158"/>
      <c r="B450" s="231"/>
      <c r="C450" s="242"/>
      <c r="D450" s="242"/>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row>
    <row r="451">
      <c r="A451" s="158"/>
      <c r="B451" s="231"/>
      <c r="C451" s="242"/>
      <c r="D451" s="242"/>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c r="AW451" s="15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row>
    <row r="452">
      <c r="A452" s="158"/>
      <c r="B452" s="231"/>
      <c r="C452" s="242"/>
      <c r="D452" s="242"/>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row>
    <row r="453">
      <c r="A453" s="158"/>
      <c r="B453" s="231"/>
      <c r="C453" s="242"/>
      <c r="D453" s="242"/>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c r="BF453" s="158"/>
      <c r="BG453" s="158"/>
      <c r="BH453" s="158"/>
      <c r="BI453" s="158"/>
      <c r="BJ453" s="158"/>
      <c r="BK453" s="158"/>
      <c r="BL453" s="158"/>
      <c r="BM453" s="158"/>
      <c r="BN453" s="158"/>
      <c r="BO453" s="158"/>
      <c r="BP453" s="158"/>
      <c r="BQ453" s="158"/>
      <c r="BR453" s="158"/>
    </row>
    <row r="454">
      <c r="A454" s="158"/>
      <c r="B454" s="231"/>
      <c r="C454" s="242"/>
      <c r="D454" s="242"/>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c r="BF454" s="158"/>
      <c r="BG454" s="158"/>
      <c r="BH454" s="158"/>
      <c r="BI454" s="158"/>
      <c r="BJ454" s="158"/>
      <c r="BK454" s="158"/>
      <c r="BL454" s="158"/>
      <c r="BM454" s="158"/>
      <c r="BN454" s="158"/>
      <c r="BO454" s="158"/>
      <c r="BP454" s="158"/>
      <c r="BQ454" s="158"/>
      <c r="BR454" s="158"/>
    </row>
    <row r="455">
      <c r="A455" s="158"/>
      <c r="B455" s="231"/>
      <c r="C455" s="242"/>
      <c r="D455" s="242"/>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row>
    <row r="456">
      <c r="A456" s="158"/>
      <c r="B456" s="231"/>
      <c r="C456" s="242"/>
      <c r="D456" s="242"/>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c r="AW456" s="15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row>
    <row r="457">
      <c r="A457" s="158"/>
      <c r="B457" s="231"/>
      <c r="C457" s="242"/>
      <c r="D457" s="242"/>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c r="AW457" s="15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row>
    <row r="458">
      <c r="A458" s="158"/>
      <c r="B458" s="231"/>
      <c r="C458" s="242"/>
      <c r="D458" s="242"/>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c r="AW458" s="15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row>
    <row r="459">
      <c r="A459" s="158"/>
      <c r="B459" s="231"/>
      <c r="C459" s="242"/>
      <c r="D459" s="242"/>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c r="BF459" s="158"/>
      <c r="BG459" s="158"/>
      <c r="BH459" s="158"/>
      <c r="BI459" s="158"/>
      <c r="BJ459" s="158"/>
      <c r="BK459" s="158"/>
      <c r="BL459" s="158"/>
      <c r="BM459" s="158"/>
      <c r="BN459" s="158"/>
      <c r="BO459" s="158"/>
      <c r="BP459" s="158"/>
      <c r="BQ459" s="158"/>
      <c r="BR459" s="158"/>
    </row>
    <row r="460">
      <c r="A460" s="158"/>
      <c r="B460" s="231"/>
      <c r="C460" s="242"/>
      <c r="D460" s="242"/>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c r="BF460" s="158"/>
      <c r="BG460" s="158"/>
      <c r="BH460" s="158"/>
      <c r="BI460" s="158"/>
      <c r="BJ460" s="158"/>
      <c r="BK460" s="158"/>
      <c r="BL460" s="158"/>
      <c r="BM460" s="158"/>
      <c r="BN460" s="158"/>
      <c r="BO460" s="158"/>
      <c r="BP460" s="158"/>
      <c r="BQ460" s="158"/>
      <c r="BR460" s="158"/>
    </row>
    <row r="461">
      <c r="A461" s="158"/>
      <c r="B461" s="231"/>
      <c r="C461" s="242"/>
      <c r="D461" s="242"/>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row>
    <row r="462">
      <c r="A462" s="158"/>
      <c r="B462" s="231"/>
      <c r="C462" s="242"/>
      <c r="D462" s="242"/>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row>
    <row r="463">
      <c r="A463" s="158"/>
      <c r="B463" s="231"/>
      <c r="C463" s="242"/>
      <c r="D463" s="242"/>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row>
    <row r="464">
      <c r="A464" s="158"/>
      <c r="B464" s="231"/>
      <c r="C464" s="242"/>
      <c r="D464" s="242"/>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row>
    <row r="465">
      <c r="A465" s="158"/>
      <c r="B465" s="231"/>
      <c r="C465" s="242"/>
      <c r="D465" s="242"/>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c r="BF465" s="158"/>
      <c r="BG465" s="158"/>
      <c r="BH465" s="158"/>
      <c r="BI465" s="158"/>
      <c r="BJ465" s="158"/>
      <c r="BK465" s="158"/>
      <c r="BL465" s="158"/>
      <c r="BM465" s="158"/>
      <c r="BN465" s="158"/>
      <c r="BO465" s="158"/>
      <c r="BP465" s="158"/>
      <c r="BQ465" s="158"/>
      <c r="BR465" s="158"/>
    </row>
    <row r="466">
      <c r="A466" s="158"/>
      <c r="B466" s="231"/>
      <c r="C466" s="242"/>
      <c r="D466" s="242"/>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c r="BF466" s="158"/>
      <c r="BG466" s="158"/>
      <c r="BH466" s="158"/>
      <c r="BI466" s="158"/>
      <c r="BJ466" s="158"/>
      <c r="BK466" s="158"/>
      <c r="BL466" s="158"/>
      <c r="BM466" s="158"/>
      <c r="BN466" s="158"/>
      <c r="BO466" s="158"/>
      <c r="BP466" s="158"/>
      <c r="BQ466" s="158"/>
      <c r="BR466" s="158"/>
    </row>
    <row r="467">
      <c r="A467" s="158"/>
      <c r="B467" s="231"/>
      <c r="C467" s="242"/>
      <c r="D467" s="242"/>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row>
    <row r="468">
      <c r="A468" s="158"/>
      <c r="B468" s="231"/>
      <c r="C468" s="242"/>
      <c r="D468" s="242"/>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row>
    <row r="469">
      <c r="A469" s="158"/>
      <c r="B469" s="231"/>
      <c r="C469" s="242"/>
      <c r="D469" s="242"/>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row>
    <row r="470">
      <c r="A470" s="158"/>
      <c r="B470" s="231"/>
      <c r="C470" s="242"/>
      <c r="D470" s="242"/>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row>
    <row r="471">
      <c r="A471" s="158"/>
      <c r="B471" s="231"/>
      <c r="C471" s="242"/>
      <c r="D471" s="242"/>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c r="AW471" s="158"/>
      <c r="AX471" s="158"/>
      <c r="AY471" s="158"/>
      <c r="AZ471" s="158"/>
      <c r="BA471" s="158"/>
      <c r="BB471" s="158"/>
      <c r="BC471" s="158"/>
      <c r="BD471" s="158"/>
      <c r="BE471" s="158"/>
      <c r="BF471" s="158"/>
      <c r="BG471" s="158"/>
      <c r="BH471" s="158"/>
      <c r="BI471" s="158"/>
      <c r="BJ471" s="158"/>
      <c r="BK471" s="158"/>
      <c r="BL471" s="158"/>
      <c r="BM471" s="158"/>
      <c r="BN471" s="158"/>
      <c r="BO471" s="158"/>
      <c r="BP471" s="158"/>
      <c r="BQ471" s="158"/>
      <c r="BR471" s="158"/>
    </row>
    <row r="472">
      <c r="A472" s="158"/>
      <c r="B472" s="231"/>
      <c r="C472" s="242"/>
      <c r="D472" s="242"/>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c r="AW472" s="158"/>
      <c r="AX472" s="158"/>
      <c r="AY472" s="158"/>
      <c r="AZ472" s="158"/>
      <c r="BA472" s="158"/>
      <c r="BB472" s="158"/>
      <c r="BC472" s="158"/>
      <c r="BD472" s="158"/>
      <c r="BE472" s="158"/>
      <c r="BF472" s="158"/>
      <c r="BG472" s="158"/>
      <c r="BH472" s="158"/>
      <c r="BI472" s="158"/>
      <c r="BJ472" s="158"/>
      <c r="BK472" s="158"/>
      <c r="BL472" s="158"/>
      <c r="BM472" s="158"/>
      <c r="BN472" s="158"/>
      <c r="BO472" s="158"/>
      <c r="BP472" s="158"/>
      <c r="BQ472" s="158"/>
      <c r="BR472" s="158"/>
    </row>
    <row r="473">
      <c r="A473" s="158"/>
      <c r="B473" s="231"/>
      <c r="C473" s="242"/>
      <c r="D473" s="242"/>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c r="AW473" s="15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row>
    <row r="474">
      <c r="A474" s="158"/>
      <c r="B474" s="231"/>
      <c r="C474" s="242"/>
      <c r="D474" s="242"/>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row>
    <row r="475">
      <c r="A475" s="158"/>
      <c r="B475" s="231"/>
      <c r="C475" s="242"/>
      <c r="D475" s="242"/>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row>
    <row r="476">
      <c r="A476" s="158"/>
      <c r="B476" s="231"/>
      <c r="C476" s="242"/>
      <c r="D476" s="242"/>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row>
    <row r="477">
      <c r="A477" s="158"/>
      <c r="B477" s="231"/>
      <c r="C477" s="242"/>
      <c r="D477" s="242"/>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c r="BF477" s="158"/>
      <c r="BG477" s="158"/>
      <c r="BH477" s="158"/>
      <c r="BI477" s="158"/>
      <c r="BJ477" s="158"/>
      <c r="BK477" s="158"/>
      <c r="BL477" s="158"/>
      <c r="BM477" s="158"/>
      <c r="BN477" s="158"/>
      <c r="BO477" s="158"/>
      <c r="BP477" s="158"/>
      <c r="BQ477" s="158"/>
      <c r="BR477" s="158"/>
    </row>
    <row r="478">
      <c r="A478" s="158"/>
      <c r="B478" s="231"/>
      <c r="C478" s="242"/>
      <c r="D478" s="242"/>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c r="BF478" s="158"/>
      <c r="BG478" s="158"/>
      <c r="BH478" s="158"/>
      <c r="BI478" s="158"/>
      <c r="BJ478" s="158"/>
      <c r="BK478" s="158"/>
      <c r="BL478" s="158"/>
      <c r="BM478" s="158"/>
      <c r="BN478" s="158"/>
      <c r="BO478" s="158"/>
      <c r="BP478" s="158"/>
      <c r="BQ478" s="158"/>
      <c r="BR478" s="158"/>
    </row>
    <row r="479">
      <c r="A479" s="158"/>
      <c r="B479" s="231"/>
      <c r="C479" s="242"/>
      <c r="D479" s="242"/>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row>
    <row r="480">
      <c r="A480" s="158"/>
      <c r="B480" s="231"/>
      <c r="C480" s="242"/>
      <c r="D480" s="242"/>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row>
    <row r="481">
      <c r="A481" s="158"/>
      <c r="B481" s="231"/>
      <c r="C481" s="242"/>
      <c r="D481" s="242"/>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row>
    <row r="482">
      <c r="A482" s="158"/>
      <c r="B482" s="231"/>
      <c r="C482" s="242"/>
      <c r="D482" s="242"/>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row>
    <row r="483">
      <c r="A483" s="158"/>
      <c r="B483" s="231"/>
      <c r="C483" s="242"/>
      <c r="D483" s="242"/>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c r="AW483" s="158"/>
      <c r="AX483" s="158"/>
      <c r="AY483" s="158"/>
      <c r="AZ483" s="158"/>
      <c r="BA483" s="158"/>
      <c r="BB483" s="158"/>
      <c r="BC483" s="158"/>
      <c r="BD483" s="158"/>
      <c r="BE483" s="158"/>
      <c r="BF483" s="158"/>
      <c r="BG483" s="158"/>
      <c r="BH483" s="158"/>
      <c r="BI483" s="158"/>
      <c r="BJ483" s="158"/>
      <c r="BK483" s="158"/>
      <c r="BL483" s="158"/>
      <c r="BM483" s="158"/>
      <c r="BN483" s="158"/>
      <c r="BO483" s="158"/>
      <c r="BP483" s="158"/>
      <c r="BQ483" s="158"/>
      <c r="BR483" s="158"/>
    </row>
    <row r="484">
      <c r="A484" s="158"/>
      <c r="B484" s="231"/>
      <c r="C484" s="242"/>
      <c r="D484" s="242"/>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c r="AW484" s="158"/>
      <c r="AX484" s="158"/>
      <c r="AY484" s="158"/>
      <c r="AZ484" s="158"/>
      <c r="BA484" s="158"/>
      <c r="BB484" s="158"/>
      <c r="BC484" s="158"/>
      <c r="BD484" s="158"/>
      <c r="BE484" s="158"/>
      <c r="BF484" s="158"/>
      <c r="BG484" s="158"/>
      <c r="BH484" s="158"/>
      <c r="BI484" s="158"/>
      <c r="BJ484" s="158"/>
      <c r="BK484" s="158"/>
      <c r="BL484" s="158"/>
      <c r="BM484" s="158"/>
      <c r="BN484" s="158"/>
      <c r="BO484" s="158"/>
      <c r="BP484" s="158"/>
      <c r="BQ484" s="158"/>
      <c r="BR484" s="158"/>
    </row>
    <row r="485">
      <c r="A485" s="158"/>
      <c r="B485" s="231"/>
      <c r="C485" s="242"/>
      <c r="D485" s="242"/>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row>
    <row r="486">
      <c r="A486" s="158"/>
      <c r="B486" s="231"/>
      <c r="C486" s="242"/>
      <c r="D486" s="242"/>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c r="AW486" s="15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row>
    <row r="487">
      <c r="A487" s="158"/>
      <c r="B487" s="231"/>
      <c r="C487" s="242"/>
      <c r="D487" s="242"/>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c r="AW487" s="15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row>
    <row r="488">
      <c r="A488" s="158"/>
      <c r="B488" s="231"/>
      <c r="C488" s="242"/>
      <c r="D488" s="242"/>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c r="AW488" s="15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row>
    <row r="489">
      <c r="A489" s="158"/>
      <c r="B489" s="231"/>
      <c r="C489" s="242"/>
      <c r="D489" s="242"/>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c r="AW489" s="158"/>
      <c r="AX489" s="158"/>
      <c r="AY489" s="158"/>
      <c r="AZ489" s="158"/>
      <c r="BA489" s="158"/>
      <c r="BB489" s="158"/>
      <c r="BC489" s="158"/>
      <c r="BD489" s="158"/>
      <c r="BE489" s="158"/>
      <c r="BF489" s="158"/>
      <c r="BG489" s="158"/>
      <c r="BH489" s="158"/>
      <c r="BI489" s="158"/>
      <c r="BJ489" s="158"/>
      <c r="BK489" s="158"/>
      <c r="BL489" s="158"/>
      <c r="BM489" s="158"/>
      <c r="BN489" s="158"/>
      <c r="BO489" s="158"/>
      <c r="BP489" s="158"/>
      <c r="BQ489" s="158"/>
      <c r="BR489" s="158"/>
    </row>
    <row r="490">
      <c r="A490" s="158"/>
      <c r="B490" s="231"/>
      <c r="C490" s="242"/>
      <c r="D490" s="242"/>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c r="AW490" s="158"/>
      <c r="AX490" s="158"/>
      <c r="AY490" s="158"/>
      <c r="AZ490" s="158"/>
      <c r="BA490" s="158"/>
      <c r="BB490" s="158"/>
      <c r="BC490" s="158"/>
      <c r="BD490" s="158"/>
      <c r="BE490" s="158"/>
      <c r="BF490" s="158"/>
      <c r="BG490" s="158"/>
      <c r="BH490" s="158"/>
      <c r="BI490" s="158"/>
      <c r="BJ490" s="158"/>
      <c r="BK490" s="158"/>
      <c r="BL490" s="158"/>
      <c r="BM490" s="158"/>
      <c r="BN490" s="158"/>
      <c r="BO490" s="158"/>
      <c r="BP490" s="158"/>
      <c r="BQ490" s="158"/>
      <c r="BR490" s="158"/>
    </row>
    <row r="491">
      <c r="A491" s="158"/>
      <c r="B491" s="231"/>
      <c r="C491" s="242"/>
      <c r="D491" s="242"/>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row>
    <row r="492">
      <c r="A492" s="158"/>
      <c r="B492" s="231"/>
      <c r="C492" s="242"/>
      <c r="D492" s="242"/>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c r="AW492" s="15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row>
    <row r="493">
      <c r="A493" s="158"/>
      <c r="B493" s="231"/>
      <c r="C493" s="242"/>
      <c r="D493" s="242"/>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c r="AW493" s="15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row>
    <row r="494">
      <c r="A494" s="158"/>
      <c r="B494" s="231"/>
      <c r="C494" s="242"/>
      <c r="D494" s="242"/>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row>
    <row r="495">
      <c r="A495" s="158"/>
      <c r="B495" s="231"/>
      <c r="C495" s="242"/>
      <c r="D495" s="242"/>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c r="BF495" s="158"/>
      <c r="BG495" s="158"/>
      <c r="BH495" s="158"/>
      <c r="BI495" s="158"/>
      <c r="BJ495" s="158"/>
      <c r="BK495" s="158"/>
      <c r="BL495" s="158"/>
      <c r="BM495" s="158"/>
      <c r="BN495" s="158"/>
      <c r="BO495" s="158"/>
      <c r="BP495" s="158"/>
      <c r="BQ495" s="158"/>
      <c r="BR495" s="158"/>
    </row>
    <row r="496">
      <c r="A496" s="158"/>
      <c r="B496" s="231"/>
      <c r="C496" s="242"/>
      <c r="D496" s="242"/>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c r="BF496" s="158"/>
      <c r="BG496" s="158"/>
      <c r="BH496" s="158"/>
      <c r="BI496" s="158"/>
      <c r="BJ496" s="158"/>
      <c r="BK496" s="158"/>
      <c r="BL496" s="158"/>
      <c r="BM496" s="158"/>
      <c r="BN496" s="158"/>
      <c r="BO496" s="158"/>
      <c r="BP496" s="158"/>
      <c r="BQ496" s="158"/>
      <c r="BR496" s="158"/>
    </row>
    <row r="497">
      <c r="A497" s="158"/>
      <c r="B497" s="231"/>
      <c r="C497" s="242"/>
      <c r="D497" s="242"/>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c r="AW497" s="15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row>
    <row r="498">
      <c r="A498" s="158"/>
      <c r="B498" s="231"/>
      <c r="C498" s="242"/>
      <c r="D498" s="242"/>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row>
    <row r="499">
      <c r="A499" s="158"/>
      <c r="B499" s="231"/>
      <c r="C499" s="242"/>
      <c r="D499" s="242"/>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row>
    <row r="500">
      <c r="A500" s="158"/>
      <c r="B500" s="231"/>
      <c r="C500" s="242"/>
      <c r="D500" s="242"/>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row>
    <row r="501">
      <c r="A501" s="158"/>
      <c r="B501" s="231"/>
      <c r="C501" s="242"/>
      <c r="D501" s="242"/>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c r="BF501" s="158"/>
      <c r="BG501" s="158"/>
      <c r="BH501" s="158"/>
      <c r="BI501" s="158"/>
      <c r="BJ501" s="158"/>
      <c r="BK501" s="158"/>
      <c r="BL501" s="158"/>
      <c r="BM501" s="158"/>
      <c r="BN501" s="158"/>
      <c r="BO501" s="158"/>
      <c r="BP501" s="158"/>
      <c r="BQ501" s="158"/>
      <c r="BR501" s="158"/>
    </row>
    <row r="502">
      <c r="A502" s="158"/>
      <c r="B502" s="231"/>
      <c r="C502" s="242"/>
      <c r="D502" s="242"/>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c r="AW502" s="158"/>
      <c r="AX502" s="158"/>
      <c r="AY502" s="158"/>
      <c r="AZ502" s="158"/>
      <c r="BA502" s="158"/>
      <c r="BB502" s="158"/>
      <c r="BC502" s="158"/>
      <c r="BD502" s="158"/>
      <c r="BE502" s="158"/>
      <c r="BF502" s="158"/>
      <c r="BG502" s="158"/>
      <c r="BH502" s="158"/>
      <c r="BI502" s="158"/>
      <c r="BJ502" s="158"/>
      <c r="BK502" s="158"/>
      <c r="BL502" s="158"/>
      <c r="BM502" s="158"/>
      <c r="BN502" s="158"/>
      <c r="BO502" s="158"/>
      <c r="BP502" s="158"/>
      <c r="BQ502" s="158"/>
      <c r="BR502" s="158"/>
    </row>
    <row r="503">
      <c r="A503" s="158"/>
      <c r="B503" s="231"/>
      <c r="C503" s="242"/>
      <c r="D503" s="242"/>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row>
    <row r="504">
      <c r="A504" s="158"/>
      <c r="B504" s="231"/>
      <c r="C504" s="242"/>
      <c r="D504" s="242"/>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row>
    <row r="505">
      <c r="A505" s="158"/>
      <c r="B505" s="231"/>
      <c r="C505" s="242"/>
      <c r="D505" s="242"/>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row>
    <row r="506">
      <c r="A506" s="158"/>
      <c r="B506" s="231"/>
      <c r="C506" s="242"/>
      <c r="D506" s="242"/>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row>
    <row r="507">
      <c r="A507" s="158"/>
      <c r="B507" s="231"/>
      <c r="C507" s="242"/>
      <c r="D507" s="242"/>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c r="AW507" s="158"/>
      <c r="AX507" s="158"/>
      <c r="AY507" s="158"/>
      <c r="AZ507" s="158"/>
      <c r="BA507" s="158"/>
      <c r="BB507" s="158"/>
      <c r="BC507" s="158"/>
      <c r="BD507" s="158"/>
      <c r="BE507" s="158"/>
      <c r="BF507" s="158"/>
      <c r="BG507" s="158"/>
      <c r="BH507" s="158"/>
      <c r="BI507" s="158"/>
      <c r="BJ507" s="158"/>
      <c r="BK507" s="158"/>
      <c r="BL507" s="158"/>
      <c r="BM507" s="158"/>
      <c r="BN507" s="158"/>
      <c r="BO507" s="158"/>
      <c r="BP507" s="158"/>
      <c r="BQ507" s="158"/>
      <c r="BR507" s="158"/>
    </row>
    <row r="508">
      <c r="A508" s="158"/>
      <c r="B508" s="231"/>
      <c r="C508" s="242"/>
      <c r="D508" s="242"/>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c r="BF508" s="158"/>
      <c r="BG508" s="158"/>
      <c r="BH508" s="158"/>
      <c r="BI508" s="158"/>
      <c r="BJ508" s="158"/>
      <c r="BK508" s="158"/>
      <c r="BL508" s="158"/>
      <c r="BM508" s="158"/>
      <c r="BN508" s="158"/>
      <c r="BO508" s="158"/>
      <c r="BP508" s="158"/>
      <c r="BQ508" s="158"/>
      <c r="BR508" s="158"/>
    </row>
    <row r="509">
      <c r="A509" s="158"/>
      <c r="B509" s="231"/>
      <c r="C509" s="242"/>
      <c r="D509" s="242"/>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row>
    <row r="510">
      <c r="A510" s="158"/>
      <c r="B510" s="231"/>
      <c r="C510" s="242"/>
      <c r="D510" s="242"/>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row>
    <row r="511">
      <c r="A511" s="158"/>
      <c r="B511" s="231"/>
      <c r="C511" s="242"/>
      <c r="D511" s="242"/>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row>
    <row r="512">
      <c r="A512" s="158"/>
      <c r="B512" s="231"/>
      <c r="C512" s="242"/>
      <c r="D512" s="242"/>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row>
    <row r="513">
      <c r="A513" s="158"/>
      <c r="B513" s="231"/>
      <c r="C513" s="242"/>
      <c r="D513" s="242"/>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row>
    <row r="514">
      <c r="A514" s="158"/>
      <c r="B514" s="231"/>
      <c r="C514" s="242"/>
      <c r="D514" s="242"/>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row>
    <row r="515">
      <c r="A515" s="158"/>
      <c r="B515" s="231"/>
      <c r="C515" s="242"/>
      <c r="D515" s="242"/>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row>
    <row r="516">
      <c r="A516" s="158"/>
      <c r="B516" s="231"/>
      <c r="C516" s="242"/>
      <c r="D516" s="242"/>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row>
    <row r="517">
      <c r="A517" s="158"/>
      <c r="B517" s="231"/>
      <c r="C517" s="242"/>
      <c r="D517" s="242"/>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row>
    <row r="518">
      <c r="A518" s="158"/>
      <c r="B518" s="231"/>
      <c r="C518" s="242"/>
      <c r="D518" s="242"/>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c r="AW518" s="15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row>
    <row r="519">
      <c r="A519" s="158"/>
      <c r="B519" s="231"/>
      <c r="C519" s="242"/>
      <c r="D519" s="242"/>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c r="BF519" s="158"/>
      <c r="BG519" s="158"/>
      <c r="BH519" s="158"/>
      <c r="BI519" s="158"/>
      <c r="BJ519" s="158"/>
      <c r="BK519" s="158"/>
      <c r="BL519" s="158"/>
      <c r="BM519" s="158"/>
      <c r="BN519" s="158"/>
      <c r="BO519" s="158"/>
      <c r="BP519" s="158"/>
      <c r="BQ519" s="158"/>
      <c r="BR519" s="158"/>
    </row>
    <row r="520">
      <c r="A520" s="158"/>
      <c r="B520" s="231"/>
      <c r="C520" s="242"/>
      <c r="D520" s="242"/>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c r="AW520" s="158"/>
      <c r="AX520" s="158"/>
      <c r="AY520" s="158"/>
      <c r="AZ520" s="158"/>
      <c r="BA520" s="158"/>
      <c r="BB520" s="158"/>
      <c r="BC520" s="158"/>
      <c r="BD520" s="158"/>
      <c r="BE520" s="158"/>
      <c r="BF520" s="158"/>
      <c r="BG520" s="158"/>
      <c r="BH520" s="158"/>
      <c r="BI520" s="158"/>
      <c r="BJ520" s="158"/>
      <c r="BK520" s="158"/>
      <c r="BL520" s="158"/>
      <c r="BM520" s="158"/>
      <c r="BN520" s="158"/>
      <c r="BO520" s="158"/>
      <c r="BP520" s="158"/>
      <c r="BQ520" s="158"/>
      <c r="BR520" s="158"/>
    </row>
    <row r="521">
      <c r="A521" s="158"/>
      <c r="B521" s="231"/>
      <c r="C521" s="242"/>
      <c r="D521" s="242"/>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c r="AW521" s="15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row>
    <row r="522">
      <c r="A522" s="158"/>
      <c r="B522" s="231"/>
      <c r="C522" s="242"/>
      <c r="D522" s="242"/>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row>
    <row r="523">
      <c r="A523" s="158"/>
      <c r="B523" s="231"/>
      <c r="C523" s="242"/>
      <c r="D523" s="242"/>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row>
    <row r="524">
      <c r="A524" s="158"/>
      <c r="B524" s="231"/>
      <c r="C524" s="242"/>
      <c r="D524" s="242"/>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c r="AW524" s="15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row>
    <row r="525">
      <c r="A525" s="158"/>
      <c r="B525" s="231"/>
      <c r="C525" s="242"/>
      <c r="D525" s="242"/>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c r="AW525" s="158"/>
      <c r="AX525" s="158"/>
      <c r="AY525" s="158"/>
      <c r="AZ525" s="158"/>
      <c r="BA525" s="158"/>
      <c r="BB525" s="158"/>
      <c r="BC525" s="158"/>
      <c r="BD525" s="158"/>
      <c r="BE525" s="158"/>
      <c r="BF525" s="158"/>
      <c r="BG525" s="158"/>
      <c r="BH525" s="158"/>
      <c r="BI525" s="158"/>
      <c r="BJ525" s="158"/>
      <c r="BK525" s="158"/>
      <c r="BL525" s="158"/>
      <c r="BM525" s="158"/>
      <c r="BN525" s="158"/>
      <c r="BO525" s="158"/>
      <c r="BP525" s="158"/>
      <c r="BQ525" s="158"/>
      <c r="BR525" s="158"/>
    </row>
    <row r="526">
      <c r="A526" s="158"/>
      <c r="B526" s="231"/>
      <c r="C526" s="242"/>
      <c r="D526" s="242"/>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c r="AW526" s="158"/>
      <c r="AX526" s="158"/>
      <c r="AY526" s="158"/>
      <c r="AZ526" s="158"/>
      <c r="BA526" s="158"/>
      <c r="BB526" s="158"/>
      <c r="BC526" s="158"/>
      <c r="BD526" s="158"/>
      <c r="BE526" s="158"/>
      <c r="BF526" s="158"/>
      <c r="BG526" s="158"/>
      <c r="BH526" s="158"/>
      <c r="BI526" s="158"/>
      <c r="BJ526" s="158"/>
      <c r="BK526" s="158"/>
      <c r="BL526" s="158"/>
      <c r="BM526" s="158"/>
      <c r="BN526" s="158"/>
      <c r="BO526" s="158"/>
      <c r="BP526" s="158"/>
      <c r="BQ526" s="158"/>
      <c r="BR526" s="158"/>
    </row>
    <row r="527">
      <c r="A527" s="158"/>
      <c r="B527" s="231"/>
      <c r="C527" s="242"/>
      <c r="D527" s="242"/>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c r="AW527" s="15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row>
    <row r="528">
      <c r="A528" s="158"/>
      <c r="B528" s="231"/>
      <c r="C528" s="242"/>
      <c r="D528" s="242"/>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c r="AW528" s="15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row>
    <row r="529">
      <c r="A529" s="158"/>
      <c r="B529" s="231"/>
      <c r="C529" s="242"/>
      <c r="D529" s="242"/>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c r="AW529" s="15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row>
    <row r="530">
      <c r="A530" s="158"/>
      <c r="B530" s="231"/>
      <c r="C530" s="242"/>
      <c r="D530" s="242"/>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c r="AW530" s="15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row>
    <row r="531">
      <c r="A531" s="158"/>
      <c r="B531" s="231"/>
      <c r="C531" s="242"/>
      <c r="D531" s="242"/>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c r="AW531" s="158"/>
      <c r="AX531" s="158"/>
      <c r="AY531" s="158"/>
      <c r="AZ531" s="158"/>
      <c r="BA531" s="158"/>
      <c r="BB531" s="158"/>
      <c r="BC531" s="158"/>
      <c r="BD531" s="158"/>
      <c r="BE531" s="158"/>
      <c r="BF531" s="158"/>
      <c r="BG531" s="158"/>
      <c r="BH531" s="158"/>
      <c r="BI531" s="158"/>
      <c r="BJ531" s="158"/>
      <c r="BK531" s="158"/>
      <c r="BL531" s="158"/>
      <c r="BM531" s="158"/>
      <c r="BN531" s="158"/>
      <c r="BO531" s="158"/>
      <c r="BP531" s="158"/>
      <c r="BQ531" s="158"/>
      <c r="BR531" s="158"/>
    </row>
    <row r="532">
      <c r="A532" s="158"/>
      <c r="B532" s="231"/>
      <c r="C532" s="242"/>
      <c r="D532" s="242"/>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c r="AW532" s="158"/>
      <c r="AX532" s="158"/>
      <c r="AY532" s="158"/>
      <c r="AZ532" s="158"/>
      <c r="BA532" s="158"/>
      <c r="BB532" s="158"/>
      <c r="BC532" s="158"/>
      <c r="BD532" s="158"/>
      <c r="BE532" s="158"/>
      <c r="BF532" s="158"/>
      <c r="BG532" s="158"/>
      <c r="BH532" s="158"/>
      <c r="BI532" s="158"/>
      <c r="BJ532" s="158"/>
      <c r="BK532" s="158"/>
      <c r="BL532" s="158"/>
      <c r="BM532" s="158"/>
      <c r="BN532" s="158"/>
      <c r="BO532" s="158"/>
      <c r="BP532" s="158"/>
      <c r="BQ532" s="158"/>
      <c r="BR532" s="158"/>
    </row>
    <row r="533">
      <c r="A533" s="158"/>
      <c r="B533" s="231"/>
      <c r="C533" s="242"/>
      <c r="D533" s="242"/>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c r="AW533" s="158"/>
      <c r="AX533" s="15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row>
    <row r="534">
      <c r="A534" s="158"/>
      <c r="B534" s="231"/>
      <c r="C534" s="242"/>
      <c r="D534" s="242"/>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c r="AW534" s="158"/>
      <c r="AX534" s="15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row>
    <row r="535">
      <c r="A535" s="158"/>
      <c r="B535" s="231"/>
      <c r="C535" s="242"/>
      <c r="D535" s="242"/>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row>
    <row r="536">
      <c r="A536" s="158"/>
      <c r="B536" s="231"/>
      <c r="C536" s="242"/>
      <c r="D536" s="242"/>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row>
    <row r="537">
      <c r="A537" s="158"/>
      <c r="B537" s="231"/>
      <c r="C537" s="242"/>
      <c r="D537" s="242"/>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c r="AW537" s="158"/>
      <c r="AX537" s="158"/>
      <c r="AY537" s="158"/>
      <c r="AZ537" s="158"/>
      <c r="BA537" s="158"/>
      <c r="BB537" s="158"/>
      <c r="BC537" s="158"/>
      <c r="BD537" s="158"/>
      <c r="BE537" s="158"/>
      <c r="BF537" s="158"/>
      <c r="BG537" s="158"/>
      <c r="BH537" s="158"/>
      <c r="BI537" s="158"/>
      <c r="BJ537" s="158"/>
      <c r="BK537" s="158"/>
      <c r="BL537" s="158"/>
      <c r="BM537" s="158"/>
      <c r="BN537" s="158"/>
      <c r="BO537" s="158"/>
      <c r="BP537" s="158"/>
      <c r="BQ537" s="158"/>
      <c r="BR537" s="158"/>
    </row>
    <row r="538">
      <c r="A538" s="158"/>
      <c r="B538" s="231"/>
      <c r="C538" s="242"/>
      <c r="D538" s="242"/>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c r="AW538" s="158"/>
      <c r="AX538" s="158"/>
      <c r="AY538" s="158"/>
      <c r="AZ538" s="158"/>
      <c r="BA538" s="158"/>
      <c r="BB538" s="158"/>
      <c r="BC538" s="158"/>
      <c r="BD538" s="158"/>
      <c r="BE538" s="158"/>
      <c r="BF538" s="158"/>
      <c r="BG538" s="158"/>
      <c r="BH538" s="158"/>
      <c r="BI538" s="158"/>
      <c r="BJ538" s="158"/>
      <c r="BK538" s="158"/>
      <c r="BL538" s="158"/>
      <c r="BM538" s="158"/>
      <c r="BN538" s="158"/>
      <c r="BO538" s="158"/>
      <c r="BP538" s="158"/>
      <c r="BQ538" s="158"/>
      <c r="BR538" s="158"/>
    </row>
    <row r="539">
      <c r="A539" s="158"/>
      <c r="B539" s="231"/>
      <c r="C539" s="242"/>
      <c r="D539" s="242"/>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c r="AW539" s="158"/>
      <c r="AX539" s="158"/>
      <c r="AY539" s="158"/>
      <c r="AZ539" s="158"/>
      <c r="BA539" s="158"/>
      <c r="BB539" s="158"/>
      <c r="BC539" s="158"/>
      <c r="BD539" s="158"/>
      <c r="BE539" s="158"/>
      <c r="BF539" s="158"/>
      <c r="BG539" s="158"/>
      <c r="BH539" s="158"/>
      <c r="BI539" s="158"/>
      <c r="BJ539" s="158"/>
      <c r="BK539" s="158"/>
      <c r="BL539" s="158"/>
      <c r="BM539" s="158"/>
      <c r="BN539" s="158"/>
      <c r="BO539" s="158"/>
      <c r="BP539" s="158"/>
      <c r="BQ539" s="158"/>
      <c r="BR539" s="158"/>
    </row>
    <row r="540">
      <c r="A540" s="158"/>
      <c r="B540" s="231"/>
      <c r="C540" s="242"/>
      <c r="D540" s="242"/>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c r="AW540" s="158"/>
      <c r="AX540" s="158"/>
      <c r="AY540" s="158"/>
      <c r="AZ540" s="158"/>
      <c r="BA540" s="158"/>
      <c r="BB540" s="158"/>
      <c r="BC540" s="158"/>
      <c r="BD540" s="158"/>
      <c r="BE540" s="158"/>
      <c r="BF540" s="158"/>
      <c r="BG540" s="158"/>
      <c r="BH540" s="158"/>
      <c r="BI540" s="158"/>
      <c r="BJ540" s="158"/>
      <c r="BK540" s="158"/>
      <c r="BL540" s="158"/>
      <c r="BM540" s="158"/>
      <c r="BN540" s="158"/>
      <c r="BO540" s="158"/>
      <c r="BP540" s="158"/>
      <c r="BQ540" s="158"/>
      <c r="BR540" s="158"/>
    </row>
    <row r="541">
      <c r="A541" s="158"/>
      <c r="B541" s="231"/>
      <c r="C541" s="242"/>
      <c r="D541" s="242"/>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c r="AW541" s="158"/>
      <c r="AX541" s="158"/>
      <c r="AY541" s="158"/>
      <c r="AZ541" s="158"/>
      <c r="BA541" s="158"/>
      <c r="BB541" s="158"/>
      <c r="BC541" s="158"/>
      <c r="BD541" s="158"/>
      <c r="BE541" s="158"/>
      <c r="BF541" s="158"/>
      <c r="BG541" s="158"/>
      <c r="BH541" s="158"/>
      <c r="BI541" s="158"/>
      <c r="BJ541" s="158"/>
      <c r="BK541" s="158"/>
      <c r="BL541" s="158"/>
      <c r="BM541" s="158"/>
      <c r="BN541" s="158"/>
      <c r="BO541" s="158"/>
      <c r="BP541" s="158"/>
      <c r="BQ541" s="158"/>
      <c r="BR541" s="158"/>
    </row>
    <row r="542">
      <c r="A542" s="158"/>
      <c r="B542" s="231"/>
      <c r="C542" s="242"/>
      <c r="D542" s="242"/>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c r="BF542" s="158"/>
      <c r="BG542" s="158"/>
      <c r="BH542" s="158"/>
      <c r="BI542" s="158"/>
      <c r="BJ542" s="158"/>
      <c r="BK542" s="158"/>
      <c r="BL542" s="158"/>
      <c r="BM542" s="158"/>
      <c r="BN542" s="158"/>
      <c r="BO542" s="158"/>
      <c r="BP542" s="158"/>
      <c r="BQ542" s="158"/>
      <c r="BR542" s="158"/>
    </row>
    <row r="543">
      <c r="A543" s="158"/>
      <c r="B543" s="231"/>
      <c r="C543" s="242"/>
      <c r="D543" s="242"/>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c r="BF543" s="158"/>
      <c r="BG543" s="158"/>
      <c r="BH543" s="158"/>
      <c r="BI543" s="158"/>
      <c r="BJ543" s="158"/>
      <c r="BK543" s="158"/>
      <c r="BL543" s="158"/>
      <c r="BM543" s="158"/>
      <c r="BN543" s="158"/>
      <c r="BO543" s="158"/>
      <c r="BP543" s="158"/>
      <c r="BQ543" s="158"/>
      <c r="BR543" s="158"/>
    </row>
    <row r="544">
      <c r="A544" s="158"/>
      <c r="B544" s="231"/>
      <c r="C544" s="242"/>
      <c r="D544" s="242"/>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c r="BF544" s="158"/>
      <c r="BG544" s="158"/>
      <c r="BH544" s="158"/>
      <c r="BI544" s="158"/>
      <c r="BJ544" s="158"/>
      <c r="BK544" s="158"/>
      <c r="BL544" s="158"/>
      <c r="BM544" s="158"/>
      <c r="BN544" s="158"/>
      <c r="BO544" s="158"/>
      <c r="BP544" s="158"/>
      <c r="BQ544" s="158"/>
      <c r="BR544" s="158"/>
    </row>
    <row r="545">
      <c r="A545" s="158"/>
      <c r="B545" s="231"/>
      <c r="C545" s="242"/>
      <c r="D545" s="242"/>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c r="BF545" s="158"/>
      <c r="BG545" s="158"/>
      <c r="BH545" s="158"/>
      <c r="BI545" s="158"/>
      <c r="BJ545" s="158"/>
      <c r="BK545" s="158"/>
      <c r="BL545" s="158"/>
      <c r="BM545" s="158"/>
      <c r="BN545" s="158"/>
      <c r="BO545" s="158"/>
      <c r="BP545" s="158"/>
      <c r="BQ545" s="158"/>
      <c r="BR545" s="158"/>
    </row>
    <row r="546">
      <c r="A546" s="158"/>
      <c r="B546" s="231"/>
      <c r="C546" s="242"/>
      <c r="D546" s="242"/>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c r="BF546" s="158"/>
      <c r="BG546" s="158"/>
      <c r="BH546" s="158"/>
      <c r="BI546" s="158"/>
      <c r="BJ546" s="158"/>
      <c r="BK546" s="158"/>
      <c r="BL546" s="158"/>
      <c r="BM546" s="158"/>
      <c r="BN546" s="158"/>
      <c r="BO546" s="158"/>
      <c r="BP546" s="158"/>
      <c r="BQ546" s="158"/>
      <c r="BR546" s="158"/>
    </row>
    <row r="547">
      <c r="A547" s="158"/>
      <c r="B547" s="231"/>
      <c r="C547" s="242"/>
      <c r="D547" s="242"/>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c r="BF547" s="158"/>
      <c r="BG547" s="158"/>
      <c r="BH547" s="158"/>
      <c r="BI547" s="158"/>
      <c r="BJ547" s="158"/>
      <c r="BK547" s="158"/>
      <c r="BL547" s="158"/>
      <c r="BM547" s="158"/>
      <c r="BN547" s="158"/>
      <c r="BO547" s="158"/>
      <c r="BP547" s="158"/>
      <c r="BQ547" s="158"/>
      <c r="BR547" s="158"/>
    </row>
    <row r="548">
      <c r="A548" s="158"/>
      <c r="B548" s="231"/>
      <c r="C548" s="242"/>
      <c r="D548" s="242"/>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c r="BF548" s="158"/>
      <c r="BG548" s="158"/>
      <c r="BH548" s="158"/>
      <c r="BI548" s="158"/>
      <c r="BJ548" s="158"/>
      <c r="BK548" s="158"/>
      <c r="BL548" s="158"/>
      <c r="BM548" s="158"/>
      <c r="BN548" s="158"/>
      <c r="BO548" s="158"/>
      <c r="BP548" s="158"/>
      <c r="BQ548" s="158"/>
      <c r="BR548" s="158"/>
    </row>
    <row r="549">
      <c r="A549" s="158"/>
      <c r="B549" s="231"/>
      <c r="C549" s="242"/>
      <c r="D549" s="242"/>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c r="BF549" s="158"/>
      <c r="BG549" s="158"/>
      <c r="BH549" s="158"/>
      <c r="BI549" s="158"/>
      <c r="BJ549" s="158"/>
      <c r="BK549" s="158"/>
      <c r="BL549" s="158"/>
      <c r="BM549" s="158"/>
      <c r="BN549" s="158"/>
      <c r="BO549" s="158"/>
      <c r="BP549" s="158"/>
      <c r="BQ549" s="158"/>
      <c r="BR549" s="158"/>
    </row>
    <row r="550">
      <c r="A550" s="158"/>
      <c r="B550" s="231"/>
      <c r="C550" s="242"/>
      <c r="D550" s="242"/>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c r="BF550" s="158"/>
      <c r="BG550" s="158"/>
      <c r="BH550" s="158"/>
      <c r="BI550" s="158"/>
      <c r="BJ550" s="158"/>
      <c r="BK550" s="158"/>
      <c r="BL550" s="158"/>
      <c r="BM550" s="158"/>
      <c r="BN550" s="158"/>
      <c r="BO550" s="158"/>
      <c r="BP550" s="158"/>
      <c r="BQ550" s="158"/>
      <c r="BR550" s="158"/>
    </row>
    <row r="551">
      <c r="A551" s="158"/>
      <c r="B551" s="231"/>
      <c r="C551" s="242"/>
      <c r="D551" s="242"/>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c r="BF551" s="158"/>
      <c r="BG551" s="158"/>
      <c r="BH551" s="158"/>
      <c r="BI551" s="158"/>
      <c r="BJ551" s="158"/>
      <c r="BK551" s="158"/>
      <c r="BL551" s="158"/>
      <c r="BM551" s="158"/>
      <c r="BN551" s="158"/>
      <c r="BO551" s="158"/>
      <c r="BP551" s="158"/>
      <c r="BQ551" s="158"/>
      <c r="BR551" s="158"/>
    </row>
    <row r="552">
      <c r="A552" s="158"/>
      <c r="B552" s="231"/>
      <c r="C552" s="242"/>
      <c r="D552" s="242"/>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c r="AW552" s="158"/>
      <c r="AX552" s="158"/>
      <c r="AY552" s="158"/>
      <c r="AZ552" s="158"/>
      <c r="BA552" s="158"/>
      <c r="BB552" s="158"/>
      <c r="BC552" s="158"/>
      <c r="BD552" s="158"/>
      <c r="BE552" s="158"/>
      <c r="BF552" s="158"/>
      <c r="BG552" s="158"/>
      <c r="BH552" s="158"/>
      <c r="BI552" s="158"/>
      <c r="BJ552" s="158"/>
      <c r="BK552" s="158"/>
      <c r="BL552" s="158"/>
      <c r="BM552" s="158"/>
      <c r="BN552" s="158"/>
      <c r="BO552" s="158"/>
      <c r="BP552" s="158"/>
      <c r="BQ552" s="158"/>
      <c r="BR552" s="158"/>
    </row>
    <row r="553">
      <c r="A553" s="158"/>
      <c r="B553" s="231"/>
      <c r="C553" s="242"/>
      <c r="D553" s="242"/>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c r="AW553" s="158"/>
      <c r="AX553" s="158"/>
      <c r="AY553" s="158"/>
      <c r="AZ553" s="158"/>
      <c r="BA553" s="158"/>
      <c r="BB553" s="158"/>
      <c r="BC553" s="158"/>
      <c r="BD553" s="158"/>
      <c r="BE553" s="158"/>
      <c r="BF553" s="158"/>
      <c r="BG553" s="158"/>
      <c r="BH553" s="158"/>
      <c r="BI553" s="158"/>
      <c r="BJ553" s="158"/>
      <c r="BK553" s="158"/>
      <c r="BL553" s="158"/>
      <c r="BM553" s="158"/>
      <c r="BN553" s="158"/>
      <c r="BO553" s="158"/>
      <c r="BP553" s="158"/>
      <c r="BQ553" s="158"/>
      <c r="BR553" s="158"/>
    </row>
    <row r="554">
      <c r="A554" s="158"/>
      <c r="B554" s="231"/>
      <c r="C554" s="242"/>
      <c r="D554" s="242"/>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c r="AW554" s="158"/>
      <c r="AX554" s="158"/>
      <c r="AY554" s="158"/>
      <c r="AZ554" s="158"/>
      <c r="BA554" s="158"/>
      <c r="BB554" s="158"/>
      <c r="BC554" s="158"/>
      <c r="BD554" s="158"/>
      <c r="BE554" s="158"/>
      <c r="BF554" s="158"/>
      <c r="BG554" s="158"/>
      <c r="BH554" s="158"/>
      <c r="BI554" s="158"/>
      <c r="BJ554" s="158"/>
      <c r="BK554" s="158"/>
      <c r="BL554" s="158"/>
      <c r="BM554" s="158"/>
      <c r="BN554" s="158"/>
      <c r="BO554" s="158"/>
      <c r="BP554" s="158"/>
      <c r="BQ554" s="158"/>
      <c r="BR554" s="158"/>
    </row>
    <row r="555">
      <c r="A555" s="158"/>
      <c r="B555" s="231"/>
      <c r="C555" s="242"/>
      <c r="D555" s="242"/>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c r="AW555" s="158"/>
      <c r="AX555" s="158"/>
      <c r="AY555" s="158"/>
      <c r="AZ555" s="158"/>
      <c r="BA555" s="158"/>
      <c r="BB555" s="158"/>
      <c r="BC555" s="158"/>
      <c r="BD555" s="158"/>
      <c r="BE555" s="158"/>
      <c r="BF555" s="158"/>
      <c r="BG555" s="158"/>
      <c r="BH555" s="158"/>
      <c r="BI555" s="158"/>
      <c r="BJ555" s="158"/>
      <c r="BK555" s="158"/>
      <c r="BL555" s="158"/>
      <c r="BM555" s="158"/>
      <c r="BN555" s="158"/>
      <c r="BO555" s="158"/>
      <c r="BP555" s="158"/>
      <c r="BQ555" s="158"/>
      <c r="BR555" s="158"/>
    </row>
    <row r="556">
      <c r="A556" s="158"/>
      <c r="B556" s="231"/>
      <c r="C556" s="242"/>
      <c r="D556" s="242"/>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c r="AW556" s="158"/>
      <c r="AX556" s="158"/>
      <c r="AY556" s="158"/>
      <c r="AZ556" s="158"/>
      <c r="BA556" s="158"/>
      <c r="BB556" s="158"/>
      <c r="BC556" s="158"/>
      <c r="BD556" s="158"/>
      <c r="BE556" s="158"/>
      <c r="BF556" s="158"/>
      <c r="BG556" s="158"/>
      <c r="BH556" s="158"/>
      <c r="BI556" s="158"/>
      <c r="BJ556" s="158"/>
      <c r="BK556" s="158"/>
      <c r="BL556" s="158"/>
      <c r="BM556" s="158"/>
      <c r="BN556" s="158"/>
      <c r="BO556" s="158"/>
      <c r="BP556" s="158"/>
      <c r="BQ556" s="158"/>
      <c r="BR556" s="158"/>
    </row>
    <row r="557">
      <c r="A557" s="158"/>
      <c r="B557" s="231"/>
      <c r="C557" s="242"/>
      <c r="D557" s="242"/>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c r="BF557" s="158"/>
      <c r="BG557" s="158"/>
      <c r="BH557" s="158"/>
      <c r="BI557" s="158"/>
      <c r="BJ557" s="158"/>
      <c r="BK557" s="158"/>
      <c r="BL557" s="158"/>
      <c r="BM557" s="158"/>
      <c r="BN557" s="158"/>
      <c r="BO557" s="158"/>
      <c r="BP557" s="158"/>
      <c r="BQ557" s="158"/>
      <c r="BR557" s="158"/>
    </row>
    <row r="558">
      <c r="A558" s="158"/>
      <c r="B558" s="231"/>
      <c r="C558" s="242"/>
      <c r="D558" s="242"/>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c r="AW558" s="158"/>
      <c r="AX558" s="158"/>
      <c r="AY558" s="158"/>
      <c r="AZ558" s="158"/>
      <c r="BA558" s="158"/>
      <c r="BB558" s="158"/>
      <c r="BC558" s="158"/>
      <c r="BD558" s="158"/>
      <c r="BE558" s="158"/>
      <c r="BF558" s="158"/>
      <c r="BG558" s="158"/>
      <c r="BH558" s="158"/>
      <c r="BI558" s="158"/>
      <c r="BJ558" s="158"/>
      <c r="BK558" s="158"/>
      <c r="BL558" s="158"/>
      <c r="BM558" s="158"/>
      <c r="BN558" s="158"/>
      <c r="BO558" s="158"/>
      <c r="BP558" s="158"/>
      <c r="BQ558" s="158"/>
      <c r="BR558" s="158"/>
    </row>
    <row r="559">
      <c r="A559" s="158"/>
      <c r="B559" s="231"/>
      <c r="C559" s="242"/>
      <c r="D559" s="242"/>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c r="BF559" s="158"/>
      <c r="BG559" s="158"/>
      <c r="BH559" s="158"/>
      <c r="BI559" s="158"/>
      <c r="BJ559" s="158"/>
      <c r="BK559" s="158"/>
      <c r="BL559" s="158"/>
      <c r="BM559" s="158"/>
      <c r="BN559" s="158"/>
      <c r="BO559" s="158"/>
      <c r="BP559" s="158"/>
      <c r="BQ559" s="158"/>
      <c r="BR559" s="158"/>
    </row>
    <row r="560">
      <c r="A560" s="158"/>
      <c r="B560" s="231"/>
      <c r="C560" s="242"/>
      <c r="D560" s="242"/>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c r="BF560" s="158"/>
      <c r="BG560" s="158"/>
      <c r="BH560" s="158"/>
      <c r="BI560" s="158"/>
      <c r="BJ560" s="158"/>
      <c r="BK560" s="158"/>
      <c r="BL560" s="158"/>
      <c r="BM560" s="158"/>
      <c r="BN560" s="158"/>
      <c r="BO560" s="158"/>
      <c r="BP560" s="158"/>
      <c r="BQ560" s="158"/>
      <c r="BR560" s="158"/>
    </row>
    <row r="561">
      <c r="A561" s="158"/>
      <c r="B561" s="231"/>
      <c r="C561" s="242"/>
      <c r="D561" s="242"/>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c r="BF561" s="158"/>
      <c r="BG561" s="158"/>
      <c r="BH561" s="158"/>
      <c r="BI561" s="158"/>
      <c r="BJ561" s="158"/>
      <c r="BK561" s="158"/>
      <c r="BL561" s="158"/>
      <c r="BM561" s="158"/>
      <c r="BN561" s="158"/>
      <c r="BO561" s="158"/>
      <c r="BP561" s="158"/>
      <c r="BQ561" s="158"/>
      <c r="BR561" s="158"/>
    </row>
    <row r="562">
      <c r="A562" s="158"/>
      <c r="B562" s="231"/>
      <c r="C562" s="242"/>
      <c r="D562" s="242"/>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c r="BF562" s="158"/>
      <c r="BG562" s="158"/>
      <c r="BH562" s="158"/>
      <c r="BI562" s="158"/>
      <c r="BJ562" s="158"/>
      <c r="BK562" s="158"/>
      <c r="BL562" s="158"/>
      <c r="BM562" s="158"/>
      <c r="BN562" s="158"/>
      <c r="BO562" s="158"/>
      <c r="BP562" s="158"/>
      <c r="BQ562" s="158"/>
      <c r="BR562" s="158"/>
    </row>
    <row r="563">
      <c r="A563" s="158"/>
      <c r="B563" s="231"/>
      <c r="C563" s="242"/>
      <c r="D563" s="242"/>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c r="AW563" s="158"/>
      <c r="AX563" s="158"/>
      <c r="AY563" s="158"/>
      <c r="AZ563" s="158"/>
      <c r="BA563" s="158"/>
      <c r="BB563" s="158"/>
      <c r="BC563" s="158"/>
      <c r="BD563" s="158"/>
      <c r="BE563" s="158"/>
      <c r="BF563" s="158"/>
      <c r="BG563" s="158"/>
      <c r="BH563" s="158"/>
      <c r="BI563" s="158"/>
      <c r="BJ563" s="158"/>
      <c r="BK563" s="158"/>
      <c r="BL563" s="158"/>
      <c r="BM563" s="158"/>
      <c r="BN563" s="158"/>
      <c r="BO563" s="158"/>
      <c r="BP563" s="158"/>
      <c r="BQ563" s="158"/>
      <c r="BR563" s="158"/>
    </row>
    <row r="564">
      <c r="A564" s="158"/>
      <c r="B564" s="231"/>
      <c r="C564" s="242"/>
      <c r="D564" s="242"/>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c r="AW564" s="158"/>
      <c r="AX564" s="158"/>
      <c r="AY564" s="158"/>
      <c r="AZ564" s="158"/>
      <c r="BA564" s="158"/>
      <c r="BB564" s="158"/>
      <c r="BC564" s="158"/>
      <c r="BD564" s="158"/>
      <c r="BE564" s="158"/>
      <c r="BF564" s="158"/>
      <c r="BG564" s="158"/>
      <c r="BH564" s="158"/>
      <c r="BI564" s="158"/>
      <c r="BJ564" s="158"/>
      <c r="BK564" s="158"/>
      <c r="BL564" s="158"/>
      <c r="BM564" s="158"/>
      <c r="BN564" s="158"/>
      <c r="BO564" s="158"/>
      <c r="BP564" s="158"/>
      <c r="BQ564" s="158"/>
      <c r="BR564" s="158"/>
    </row>
    <row r="565">
      <c r="A565" s="158"/>
      <c r="B565" s="231"/>
      <c r="C565" s="242"/>
      <c r="D565" s="242"/>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c r="AW565" s="158"/>
      <c r="AX565" s="158"/>
      <c r="AY565" s="158"/>
      <c r="AZ565" s="158"/>
      <c r="BA565" s="158"/>
      <c r="BB565" s="158"/>
      <c r="BC565" s="158"/>
      <c r="BD565" s="158"/>
      <c r="BE565" s="158"/>
      <c r="BF565" s="158"/>
      <c r="BG565" s="158"/>
      <c r="BH565" s="158"/>
      <c r="BI565" s="158"/>
      <c r="BJ565" s="158"/>
      <c r="BK565" s="158"/>
      <c r="BL565" s="158"/>
      <c r="BM565" s="158"/>
      <c r="BN565" s="158"/>
      <c r="BO565" s="158"/>
      <c r="BP565" s="158"/>
      <c r="BQ565" s="158"/>
      <c r="BR565" s="158"/>
    </row>
    <row r="566">
      <c r="A566" s="158"/>
      <c r="B566" s="231"/>
      <c r="C566" s="242"/>
      <c r="D566" s="242"/>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c r="AW566" s="158"/>
      <c r="AX566" s="158"/>
      <c r="AY566" s="158"/>
      <c r="AZ566" s="158"/>
      <c r="BA566" s="158"/>
      <c r="BB566" s="158"/>
      <c r="BC566" s="158"/>
      <c r="BD566" s="158"/>
      <c r="BE566" s="158"/>
      <c r="BF566" s="158"/>
      <c r="BG566" s="158"/>
      <c r="BH566" s="158"/>
      <c r="BI566" s="158"/>
      <c r="BJ566" s="158"/>
      <c r="BK566" s="158"/>
      <c r="BL566" s="158"/>
      <c r="BM566" s="158"/>
      <c r="BN566" s="158"/>
      <c r="BO566" s="158"/>
      <c r="BP566" s="158"/>
      <c r="BQ566" s="158"/>
      <c r="BR566" s="158"/>
    </row>
    <row r="567">
      <c r="A567" s="158"/>
      <c r="B567" s="231"/>
      <c r="C567" s="242"/>
      <c r="D567" s="242"/>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c r="BF567" s="158"/>
      <c r="BG567" s="158"/>
      <c r="BH567" s="158"/>
      <c r="BI567" s="158"/>
      <c r="BJ567" s="158"/>
      <c r="BK567" s="158"/>
      <c r="BL567" s="158"/>
      <c r="BM567" s="158"/>
      <c r="BN567" s="158"/>
      <c r="BO567" s="158"/>
      <c r="BP567" s="158"/>
      <c r="BQ567" s="158"/>
      <c r="BR567" s="158"/>
    </row>
    <row r="568">
      <c r="A568" s="158"/>
      <c r="B568" s="231"/>
      <c r="C568" s="242"/>
      <c r="D568" s="242"/>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c r="AW568" s="158"/>
      <c r="AX568" s="158"/>
      <c r="AY568" s="158"/>
      <c r="AZ568" s="158"/>
      <c r="BA568" s="158"/>
      <c r="BB568" s="158"/>
      <c r="BC568" s="158"/>
      <c r="BD568" s="158"/>
      <c r="BE568" s="158"/>
      <c r="BF568" s="158"/>
      <c r="BG568" s="158"/>
      <c r="BH568" s="158"/>
      <c r="BI568" s="158"/>
      <c r="BJ568" s="158"/>
      <c r="BK568" s="158"/>
      <c r="BL568" s="158"/>
      <c r="BM568" s="158"/>
      <c r="BN568" s="158"/>
      <c r="BO568" s="158"/>
      <c r="BP568" s="158"/>
      <c r="BQ568" s="158"/>
      <c r="BR568" s="158"/>
    </row>
    <row r="569">
      <c r="A569" s="158"/>
      <c r="B569" s="231"/>
      <c r="C569" s="242"/>
      <c r="D569" s="242"/>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c r="AW569" s="158"/>
      <c r="AX569" s="158"/>
      <c r="AY569" s="158"/>
      <c r="AZ569" s="158"/>
      <c r="BA569" s="158"/>
      <c r="BB569" s="158"/>
      <c r="BC569" s="158"/>
      <c r="BD569" s="158"/>
      <c r="BE569" s="158"/>
      <c r="BF569" s="158"/>
      <c r="BG569" s="158"/>
      <c r="BH569" s="158"/>
      <c r="BI569" s="158"/>
      <c r="BJ569" s="158"/>
      <c r="BK569" s="158"/>
      <c r="BL569" s="158"/>
      <c r="BM569" s="158"/>
      <c r="BN569" s="158"/>
      <c r="BO569" s="158"/>
      <c r="BP569" s="158"/>
      <c r="BQ569" s="158"/>
      <c r="BR569" s="158"/>
    </row>
    <row r="570">
      <c r="A570" s="158"/>
      <c r="B570" s="231"/>
      <c r="C570" s="242"/>
      <c r="D570" s="242"/>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c r="AW570" s="158"/>
      <c r="AX570" s="158"/>
      <c r="AY570" s="158"/>
      <c r="AZ570" s="158"/>
      <c r="BA570" s="158"/>
      <c r="BB570" s="158"/>
      <c r="BC570" s="158"/>
      <c r="BD570" s="158"/>
      <c r="BE570" s="158"/>
      <c r="BF570" s="158"/>
      <c r="BG570" s="158"/>
      <c r="BH570" s="158"/>
      <c r="BI570" s="158"/>
      <c r="BJ570" s="158"/>
      <c r="BK570" s="158"/>
      <c r="BL570" s="158"/>
      <c r="BM570" s="158"/>
      <c r="BN570" s="158"/>
      <c r="BO570" s="158"/>
      <c r="BP570" s="158"/>
      <c r="BQ570" s="158"/>
      <c r="BR570" s="158"/>
    </row>
    <row r="571">
      <c r="A571" s="158"/>
      <c r="B571" s="231"/>
      <c r="C571" s="242"/>
      <c r="D571" s="242"/>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c r="AW571" s="158"/>
      <c r="AX571" s="158"/>
      <c r="AY571" s="158"/>
      <c r="AZ571" s="158"/>
      <c r="BA571" s="158"/>
      <c r="BB571" s="158"/>
      <c r="BC571" s="158"/>
      <c r="BD571" s="158"/>
      <c r="BE571" s="158"/>
      <c r="BF571" s="158"/>
      <c r="BG571" s="158"/>
      <c r="BH571" s="158"/>
      <c r="BI571" s="158"/>
      <c r="BJ571" s="158"/>
      <c r="BK571" s="158"/>
      <c r="BL571" s="158"/>
      <c r="BM571" s="158"/>
      <c r="BN571" s="158"/>
      <c r="BO571" s="158"/>
      <c r="BP571" s="158"/>
      <c r="BQ571" s="158"/>
      <c r="BR571" s="158"/>
    </row>
    <row r="572">
      <c r="A572" s="158"/>
      <c r="B572" s="231"/>
      <c r="C572" s="242"/>
      <c r="D572" s="242"/>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c r="BF572" s="158"/>
      <c r="BG572" s="158"/>
      <c r="BH572" s="158"/>
      <c r="BI572" s="158"/>
      <c r="BJ572" s="158"/>
      <c r="BK572" s="158"/>
      <c r="BL572" s="158"/>
      <c r="BM572" s="158"/>
      <c r="BN572" s="158"/>
      <c r="BO572" s="158"/>
      <c r="BP572" s="158"/>
      <c r="BQ572" s="158"/>
      <c r="BR572" s="158"/>
    </row>
    <row r="573">
      <c r="A573" s="158"/>
      <c r="B573" s="231"/>
      <c r="C573" s="242"/>
      <c r="D573" s="242"/>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c r="BF573" s="158"/>
      <c r="BG573" s="158"/>
      <c r="BH573" s="158"/>
      <c r="BI573" s="158"/>
      <c r="BJ573" s="158"/>
      <c r="BK573" s="158"/>
      <c r="BL573" s="158"/>
      <c r="BM573" s="158"/>
      <c r="BN573" s="158"/>
      <c r="BO573" s="158"/>
      <c r="BP573" s="158"/>
      <c r="BQ573" s="158"/>
      <c r="BR573" s="158"/>
    </row>
    <row r="574">
      <c r="A574" s="158"/>
      <c r="B574" s="231"/>
      <c r="C574" s="242"/>
      <c r="D574" s="242"/>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c r="BF574" s="158"/>
      <c r="BG574" s="158"/>
      <c r="BH574" s="158"/>
      <c r="BI574" s="158"/>
      <c r="BJ574" s="158"/>
      <c r="BK574" s="158"/>
      <c r="BL574" s="158"/>
      <c r="BM574" s="158"/>
      <c r="BN574" s="158"/>
      <c r="BO574" s="158"/>
      <c r="BP574" s="158"/>
      <c r="BQ574" s="158"/>
      <c r="BR574" s="158"/>
    </row>
    <row r="575">
      <c r="A575" s="158"/>
      <c r="B575" s="231"/>
      <c r="C575" s="242"/>
      <c r="D575" s="242"/>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c r="BF575" s="158"/>
      <c r="BG575" s="158"/>
      <c r="BH575" s="158"/>
      <c r="BI575" s="158"/>
      <c r="BJ575" s="158"/>
      <c r="BK575" s="158"/>
      <c r="BL575" s="158"/>
      <c r="BM575" s="158"/>
      <c r="BN575" s="158"/>
      <c r="BO575" s="158"/>
      <c r="BP575" s="158"/>
      <c r="BQ575" s="158"/>
      <c r="BR575" s="158"/>
    </row>
    <row r="576">
      <c r="A576" s="158"/>
      <c r="B576" s="231"/>
      <c r="C576" s="242"/>
      <c r="D576" s="242"/>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c r="BF576" s="158"/>
      <c r="BG576" s="158"/>
      <c r="BH576" s="158"/>
      <c r="BI576" s="158"/>
      <c r="BJ576" s="158"/>
      <c r="BK576" s="158"/>
      <c r="BL576" s="158"/>
      <c r="BM576" s="158"/>
      <c r="BN576" s="158"/>
      <c r="BO576" s="158"/>
      <c r="BP576" s="158"/>
      <c r="BQ576" s="158"/>
      <c r="BR576" s="158"/>
    </row>
    <row r="577">
      <c r="A577" s="158"/>
      <c r="B577" s="231"/>
      <c r="C577" s="242"/>
      <c r="D577" s="242"/>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c r="BF577" s="158"/>
      <c r="BG577" s="158"/>
      <c r="BH577" s="158"/>
      <c r="BI577" s="158"/>
      <c r="BJ577" s="158"/>
      <c r="BK577" s="158"/>
      <c r="BL577" s="158"/>
      <c r="BM577" s="158"/>
      <c r="BN577" s="158"/>
      <c r="BO577" s="158"/>
      <c r="BP577" s="158"/>
      <c r="BQ577" s="158"/>
      <c r="BR577" s="158"/>
    </row>
    <row r="578">
      <c r="A578" s="158"/>
      <c r="B578" s="231"/>
      <c r="C578" s="242"/>
      <c r="D578" s="242"/>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c r="BF578" s="158"/>
      <c r="BG578" s="158"/>
      <c r="BH578" s="158"/>
      <c r="BI578" s="158"/>
      <c r="BJ578" s="158"/>
      <c r="BK578" s="158"/>
      <c r="BL578" s="158"/>
      <c r="BM578" s="158"/>
      <c r="BN578" s="158"/>
      <c r="BO578" s="158"/>
      <c r="BP578" s="158"/>
      <c r="BQ578" s="158"/>
      <c r="BR578" s="158"/>
    </row>
    <row r="579">
      <c r="A579" s="158"/>
      <c r="B579" s="231"/>
      <c r="C579" s="242"/>
      <c r="D579" s="242"/>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c r="BF579" s="158"/>
      <c r="BG579" s="158"/>
      <c r="BH579" s="158"/>
      <c r="BI579" s="158"/>
      <c r="BJ579" s="158"/>
      <c r="BK579" s="158"/>
      <c r="BL579" s="158"/>
      <c r="BM579" s="158"/>
      <c r="BN579" s="158"/>
      <c r="BO579" s="158"/>
      <c r="BP579" s="158"/>
      <c r="BQ579" s="158"/>
      <c r="BR579" s="158"/>
    </row>
    <row r="580">
      <c r="A580" s="158"/>
      <c r="B580" s="231"/>
      <c r="C580" s="242"/>
      <c r="D580" s="242"/>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c r="BF580" s="158"/>
      <c r="BG580" s="158"/>
      <c r="BH580" s="158"/>
      <c r="BI580" s="158"/>
      <c r="BJ580" s="158"/>
      <c r="BK580" s="158"/>
      <c r="BL580" s="158"/>
      <c r="BM580" s="158"/>
      <c r="BN580" s="158"/>
      <c r="BO580" s="158"/>
      <c r="BP580" s="158"/>
      <c r="BQ580" s="158"/>
      <c r="BR580" s="158"/>
    </row>
    <row r="581">
      <c r="A581" s="158"/>
      <c r="B581" s="231"/>
      <c r="C581" s="242"/>
      <c r="D581" s="242"/>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c r="BF581" s="158"/>
      <c r="BG581" s="158"/>
      <c r="BH581" s="158"/>
      <c r="BI581" s="158"/>
      <c r="BJ581" s="158"/>
      <c r="BK581" s="158"/>
      <c r="BL581" s="158"/>
      <c r="BM581" s="158"/>
      <c r="BN581" s="158"/>
      <c r="BO581" s="158"/>
      <c r="BP581" s="158"/>
      <c r="BQ581" s="158"/>
      <c r="BR581" s="158"/>
    </row>
    <row r="582">
      <c r="A582" s="158"/>
      <c r="B582" s="231"/>
      <c r="C582" s="242"/>
      <c r="D582" s="242"/>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c r="AW582" s="158"/>
      <c r="AX582" s="158"/>
      <c r="AY582" s="158"/>
      <c r="AZ582" s="158"/>
      <c r="BA582" s="158"/>
      <c r="BB582" s="158"/>
      <c r="BC582" s="158"/>
      <c r="BD582" s="158"/>
      <c r="BE582" s="158"/>
      <c r="BF582" s="158"/>
      <c r="BG582" s="158"/>
      <c r="BH582" s="158"/>
      <c r="BI582" s="158"/>
      <c r="BJ582" s="158"/>
      <c r="BK582" s="158"/>
      <c r="BL582" s="158"/>
      <c r="BM582" s="158"/>
      <c r="BN582" s="158"/>
      <c r="BO582" s="158"/>
      <c r="BP582" s="158"/>
      <c r="BQ582" s="158"/>
      <c r="BR582" s="158"/>
    </row>
    <row r="583">
      <c r="A583" s="158"/>
      <c r="B583" s="231"/>
      <c r="C583" s="242"/>
      <c r="D583" s="242"/>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c r="AY583" s="158"/>
      <c r="AZ583" s="158"/>
      <c r="BA583" s="158"/>
      <c r="BB583" s="158"/>
      <c r="BC583" s="158"/>
      <c r="BD583" s="158"/>
      <c r="BE583" s="158"/>
      <c r="BF583" s="158"/>
      <c r="BG583" s="158"/>
      <c r="BH583" s="158"/>
      <c r="BI583" s="158"/>
      <c r="BJ583" s="158"/>
      <c r="BK583" s="158"/>
      <c r="BL583" s="158"/>
      <c r="BM583" s="158"/>
      <c r="BN583" s="158"/>
      <c r="BO583" s="158"/>
      <c r="BP583" s="158"/>
      <c r="BQ583" s="158"/>
      <c r="BR583" s="158"/>
    </row>
    <row r="584">
      <c r="A584" s="158"/>
      <c r="B584" s="231"/>
      <c r="C584" s="242"/>
      <c r="D584" s="242"/>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c r="BF584" s="158"/>
      <c r="BG584" s="158"/>
      <c r="BH584" s="158"/>
      <c r="BI584" s="158"/>
      <c r="BJ584" s="158"/>
      <c r="BK584" s="158"/>
      <c r="BL584" s="158"/>
      <c r="BM584" s="158"/>
      <c r="BN584" s="158"/>
      <c r="BO584" s="158"/>
      <c r="BP584" s="158"/>
      <c r="BQ584" s="158"/>
      <c r="BR584" s="158"/>
    </row>
    <row r="585">
      <c r="A585" s="158"/>
      <c r="B585" s="231"/>
      <c r="C585" s="242"/>
      <c r="D585" s="242"/>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c r="BF585" s="158"/>
      <c r="BG585" s="158"/>
      <c r="BH585" s="158"/>
      <c r="BI585" s="158"/>
      <c r="BJ585" s="158"/>
      <c r="BK585" s="158"/>
      <c r="BL585" s="158"/>
      <c r="BM585" s="158"/>
      <c r="BN585" s="158"/>
      <c r="BO585" s="158"/>
      <c r="BP585" s="158"/>
      <c r="BQ585" s="158"/>
      <c r="BR585" s="158"/>
    </row>
    <row r="586">
      <c r="A586" s="158"/>
      <c r="B586" s="231"/>
      <c r="C586" s="242"/>
      <c r="D586" s="242"/>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c r="BF586" s="158"/>
      <c r="BG586" s="158"/>
      <c r="BH586" s="158"/>
      <c r="BI586" s="158"/>
      <c r="BJ586" s="158"/>
      <c r="BK586" s="158"/>
      <c r="BL586" s="158"/>
      <c r="BM586" s="158"/>
      <c r="BN586" s="158"/>
      <c r="BO586" s="158"/>
      <c r="BP586" s="158"/>
      <c r="BQ586" s="158"/>
      <c r="BR586" s="158"/>
    </row>
    <row r="587">
      <c r="A587" s="158"/>
      <c r="B587" s="231"/>
      <c r="C587" s="242"/>
      <c r="D587" s="242"/>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c r="AW587" s="158"/>
      <c r="AX587" s="158"/>
      <c r="AY587" s="158"/>
      <c r="AZ587" s="158"/>
      <c r="BA587" s="158"/>
      <c r="BB587" s="158"/>
      <c r="BC587" s="158"/>
      <c r="BD587" s="158"/>
      <c r="BE587" s="158"/>
      <c r="BF587" s="158"/>
      <c r="BG587" s="158"/>
      <c r="BH587" s="158"/>
      <c r="BI587" s="158"/>
      <c r="BJ587" s="158"/>
      <c r="BK587" s="158"/>
      <c r="BL587" s="158"/>
      <c r="BM587" s="158"/>
      <c r="BN587" s="158"/>
      <c r="BO587" s="158"/>
      <c r="BP587" s="158"/>
      <c r="BQ587" s="158"/>
      <c r="BR587" s="158"/>
    </row>
    <row r="588">
      <c r="A588" s="158"/>
      <c r="B588" s="231"/>
      <c r="C588" s="242"/>
      <c r="D588" s="242"/>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c r="AW588" s="158"/>
      <c r="AX588" s="158"/>
      <c r="AY588" s="158"/>
      <c r="AZ588" s="158"/>
      <c r="BA588" s="158"/>
      <c r="BB588" s="158"/>
      <c r="BC588" s="158"/>
      <c r="BD588" s="158"/>
      <c r="BE588" s="158"/>
      <c r="BF588" s="158"/>
      <c r="BG588" s="158"/>
      <c r="BH588" s="158"/>
      <c r="BI588" s="158"/>
      <c r="BJ588" s="158"/>
      <c r="BK588" s="158"/>
      <c r="BL588" s="158"/>
      <c r="BM588" s="158"/>
      <c r="BN588" s="158"/>
      <c r="BO588" s="158"/>
      <c r="BP588" s="158"/>
      <c r="BQ588" s="158"/>
      <c r="BR588" s="158"/>
    </row>
    <row r="589">
      <c r="A589" s="158"/>
      <c r="B589" s="231"/>
      <c r="C589" s="242"/>
      <c r="D589" s="242"/>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c r="BF589" s="158"/>
      <c r="BG589" s="158"/>
      <c r="BH589" s="158"/>
      <c r="BI589" s="158"/>
      <c r="BJ589" s="158"/>
      <c r="BK589" s="158"/>
      <c r="BL589" s="158"/>
      <c r="BM589" s="158"/>
      <c r="BN589" s="158"/>
      <c r="BO589" s="158"/>
      <c r="BP589" s="158"/>
      <c r="BQ589" s="158"/>
      <c r="BR589" s="158"/>
    </row>
    <row r="590">
      <c r="A590" s="158"/>
      <c r="B590" s="231"/>
      <c r="C590" s="242"/>
      <c r="D590" s="242"/>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c r="BF590" s="158"/>
      <c r="BG590" s="158"/>
      <c r="BH590" s="158"/>
      <c r="BI590" s="158"/>
      <c r="BJ590" s="158"/>
      <c r="BK590" s="158"/>
      <c r="BL590" s="158"/>
      <c r="BM590" s="158"/>
      <c r="BN590" s="158"/>
      <c r="BO590" s="158"/>
      <c r="BP590" s="158"/>
      <c r="BQ590" s="158"/>
      <c r="BR590" s="158"/>
    </row>
    <row r="591">
      <c r="A591" s="158"/>
      <c r="B591" s="231"/>
      <c r="C591" s="242"/>
      <c r="D591" s="242"/>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c r="BF591" s="158"/>
      <c r="BG591" s="158"/>
      <c r="BH591" s="158"/>
      <c r="BI591" s="158"/>
      <c r="BJ591" s="158"/>
      <c r="BK591" s="158"/>
      <c r="BL591" s="158"/>
      <c r="BM591" s="158"/>
      <c r="BN591" s="158"/>
      <c r="BO591" s="158"/>
      <c r="BP591" s="158"/>
      <c r="BQ591" s="158"/>
      <c r="BR591" s="158"/>
    </row>
    <row r="592">
      <c r="A592" s="158"/>
      <c r="B592" s="231"/>
      <c r="C592" s="242"/>
      <c r="D592" s="242"/>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c r="AW592" s="158"/>
      <c r="AX592" s="158"/>
      <c r="AY592" s="158"/>
      <c r="AZ592" s="158"/>
      <c r="BA592" s="158"/>
      <c r="BB592" s="158"/>
      <c r="BC592" s="158"/>
      <c r="BD592" s="158"/>
      <c r="BE592" s="158"/>
      <c r="BF592" s="158"/>
      <c r="BG592" s="158"/>
      <c r="BH592" s="158"/>
      <c r="BI592" s="158"/>
      <c r="BJ592" s="158"/>
      <c r="BK592" s="158"/>
      <c r="BL592" s="158"/>
      <c r="BM592" s="158"/>
      <c r="BN592" s="158"/>
      <c r="BO592" s="158"/>
      <c r="BP592" s="158"/>
      <c r="BQ592" s="158"/>
      <c r="BR592" s="158"/>
    </row>
    <row r="593">
      <c r="A593" s="158"/>
      <c r="B593" s="231"/>
      <c r="C593" s="242"/>
      <c r="D593" s="242"/>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c r="BF593" s="158"/>
      <c r="BG593" s="158"/>
      <c r="BH593" s="158"/>
      <c r="BI593" s="158"/>
      <c r="BJ593" s="158"/>
      <c r="BK593" s="158"/>
      <c r="BL593" s="158"/>
      <c r="BM593" s="158"/>
      <c r="BN593" s="158"/>
      <c r="BO593" s="158"/>
      <c r="BP593" s="158"/>
      <c r="BQ593" s="158"/>
      <c r="BR593" s="158"/>
    </row>
    <row r="594">
      <c r="A594" s="158"/>
      <c r="B594" s="231"/>
      <c r="C594" s="242"/>
      <c r="D594" s="242"/>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c r="AW594" s="158"/>
      <c r="AX594" s="158"/>
      <c r="AY594" s="158"/>
      <c r="AZ594" s="158"/>
      <c r="BA594" s="158"/>
      <c r="BB594" s="158"/>
      <c r="BC594" s="158"/>
      <c r="BD594" s="158"/>
      <c r="BE594" s="158"/>
      <c r="BF594" s="158"/>
      <c r="BG594" s="158"/>
      <c r="BH594" s="158"/>
      <c r="BI594" s="158"/>
      <c r="BJ594" s="158"/>
      <c r="BK594" s="158"/>
      <c r="BL594" s="158"/>
      <c r="BM594" s="158"/>
      <c r="BN594" s="158"/>
      <c r="BO594" s="158"/>
      <c r="BP594" s="158"/>
      <c r="BQ594" s="158"/>
      <c r="BR594" s="158"/>
    </row>
    <row r="595">
      <c r="A595" s="158"/>
      <c r="B595" s="231"/>
      <c r="C595" s="242"/>
      <c r="D595" s="242"/>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c r="AW595" s="158"/>
      <c r="AX595" s="158"/>
      <c r="AY595" s="158"/>
      <c r="AZ595" s="158"/>
      <c r="BA595" s="158"/>
      <c r="BB595" s="158"/>
      <c r="BC595" s="158"/>
      <c r="BD595" s="158"/>
      <c r="BE595" s="158"/>
      <c r="BF595" s="158"/>
      <c r="BG595" s="158"/>
      <c r="BH595" s="158"/>
      <c r="BI595" s="158"/>
      <c r="BJ595" s="158"/>
      <c r="BK595" s="158"/>
      <c r="BL595" s="158"/>
      <c r="BM595" s="158"/>
      <c r="BN595" s="158"/>
      <c r="BO595" s="158"/>
      <c r="BP595" s="158"/>
      <c r="BQ595" s="158"/>
      <c r="BR595" s="158"/>
    </row>
    <row r="596">
      <c r="A596" s="158"/>
      <c r="B596" s="231"/>
      <c r="C596" s="242"/>
      <c r="D596" s="242"/>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c r="BF596" s="158"/>
      <c r="BG596" s="158"/>
      <c r="BH596" s="158"/>
      <c r="BI596" s="158"/>
      <c r="BJ596" s="158"/>
      <c r="BK596" s="158"/>
      <c r="BL596" s="158"/>
      <c r="BM596" s="158"/>
      <c r="BN596" s="158"/>
      <c r="BO596" s="158"/>
      <c r="BP596" s="158"/>
      <c r="BQ596" s="158"/>
      <c r="BR596" s="158"/>
    </row>
    <row r="597">
      <c r="A597" s="158"/>
      <c r="B597" s="231"/>
      <c r="C597" s="242"/>
      <c r="D597" s="242"/>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c r="BF597" s="158"/>
      <c r="BG597" s="158"/>
      <c r="BH597" s="158"/>
      <c r="BI597" s="158"/>
      <c r="BJ597" s="158"/>
      <c r="BK597" s="158"/>
      <c r="BL597" s="158"/>
      <c r="BM597" s="158"/>
      <c r="BN597" s="158"/>
      <c r="BO597" s="158"/>
      <c r="BP597" s="158"/>
      <c r="BQ597" s="158"/>
      <c r="BR597" s="158"/>
    </row>
    <row r="598">
      <c r="A598" s="158"/>
      <c r="B598" s="231"/>
      <c r="C598" s="242"/>
      <c r="D598" s="242"/>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row>
    <row r="599">
      <c r="A599" s="158"/>
      <c r="B599" s="231"/>
      <c r="C599" s="242"/>
      <c r="D599" s="242"/>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c r="BF599" s="158"/>
      <c r="BG599" s="158"/>
      <c r="BH599" s="158"/>
      <c r="BI599" s="158"/>
      <c r="BJ599" s="158"/>
      <c r="BK599" s="158"/>
      <c r="BL599" s="158"/>
      <c r="BM599" s="158"/>
      <c r="BN599" s="158"/>
      <c r="BO599" s="158"/>
      <c r="BP599" s="158"/>
      <c r="BQ599" s="158"/>
      <c r="BR599" s="158"/>
    </row>
    <row r="600">
      <c r="A600" s="158"/>
      <c r="B600" s="231"/>
      <c r="C600" s="242"/>
      <c r="D600" s="242"/>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c r="AW600" s="158"/>
      <c r="AX600" s="158"/>
      <c r="AY600" s="158"/>
      <c r="AZ600" s="158"/>
      <c r="BA600" s="158"/>
      <c r="BB600" s="158"/>
      <c r="BC600" s="158"/>
      <c r="BD600" s="158"/>
      <c r="BE600" s="158"/>
      <c r="BF600" s="158"/>
      <c r="BG600" s="158"/>
      <c r="BH600" s="158"/>
      <c r="BI600" s="158"/>
      <c r="BJ600" s="158"/>
      <c r="BK600" s="158"/>
      <c r="BL600" s="158"/>
      <c r="BM600" s="158"/>
      <c r="BN600" s="158"/>
      <c r="BO600" s="158"/>
      <c r="BP600" s="158"/>
      <c r="BQ600" s="158"/>
      <c r="BR600" s="158"/>
    </row>
    <row r="601">
      <c r="A601" s="158"/>
      <c r="B601" s="231"/>
      <c r="C601" s="242"/>
      <c r="D601" s="242"/>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c r="AW601" s="158"/>
      <c r="AX601" s="158"/>
      <c r="AY601" s="158"/>
      <c r="AZ601" s="158"/>
      <c r="BA601" s="158"/>
      <c r="BB601" s="158"/>
      <c r="BC601" s="158"/>
      <c r="BD601" s="158"/>
      <c r="BE601" s="158"/>
      <c r="BF601" s="158"/>
      <c r="BG601" s="158"/>
      <c r="BH601" s="158"/>
      <c r="BI601" s="158"/>
      <c r="BJ601" s="158"/>
      <c r="BK601" s="158"/>
      <c r="BL601" s="158"/>
      <c r="BM601" s="158"/>
      <c r="BN601" s="158"/>
      <c r="BO601" s="158"/>
      <c r="BP601" s="158"/>
      <c r="BQ601" s="158"/>
      <c r="BR601" s="158"/>
    </row>
    <row r="602">
      <c r="A602" s="158"/>
      <c r="B602" s="231"/>
      <c r="C602" s="242"/>
      <c r="D602" s="242"/>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c r="BF602" s="158"/>
      <c r="BG602" s="158"/>
      <c r="BH602" s="158"/>
      <c r="BI602" s="158"/>
      <c r="BJ602" s="158"/>
      <c r="BK602" s="158"/>
      <c r="BL602" s="158"/>
      <c r="BM602" s="158"/>
      <c r="BN602" s="158"/>
      <c r="BO602" s="158"/>
      <c r="BP602" s="158"/>
      <c r="BQ602" s="158"/>
      <c r="BR602" s="158"/>
    </row>
    <row r="603">
      <c r="A603" s="158"/>
      <c r="B603" s="231"/>
      <c r="C603" s="242"/>
      <c r="D603" s="242"/>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c r="BF603" s="158"/>
      <c r="BG603" s="158"/>
      <c r="BH603" s="158"/>
      <c r="BI603" s="158"/>
      <c r="BJ603" s="158"/>
      <c r="BK603" s="158"/>
      <c r="BL603" s="158"/>
      <c r="BM603" s="158"/>
      <c r="BN603" s="158"/>
      <c r="BO603" s="158"/>
      <c r="BP603" s="158"/>
      <c r="BQ603" s="158"/>
      <c r="BR603" s="158"/>
    </row>
    <row r="604">
      <c r="A604" s="158"/>
      <c r="B604" s="231"/>
      <c r="C604" s="242"/>
      <c r="D604" s="242"/>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c r="BF604" s="158"/>
      <c r="BG604" s="158"/>
      <c r="BH604" s="158"/>
      <c r="BI604" s="158"/>
      <c r="BJ604" s="158"/>
      <c r="BK604" s="158"/>
      <c r="BL604" s="158"/>
      <c r="BM604" s="158"/>
      <c r="BN604" s="158"/>
      <c r="BO604" s="158"/>
      <c r="BP604" s="158"/>
      <c r="BQ604" s="158"/>
      <c r="BR604" s="158"/>
    </row>
    <row r="605">
      <c r="A605" s="158"/>
      <c r="B605" s="231"/>
      <c r="C605" s="242"/>
      <c r="D605" s="242"/>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c r="BF605" s="158"/>
      <c r="BG605" s="158"/>
      <c r="BH605" s="158"/>
      <c r="BI605" s="158"/>
      <c r="BJ605" s="158"/>
      <c r="BK605" s="158"/>
      <c r="BL605" s="158"/>
      <c r="BM605" s="158"/>
      <c r="BN605" s="158"/>
      <c r="BO605" s="158"/>
      <c r="BP605" s="158"/>
      <c r="BQ605" s="158"/>
      <c r="BR605" s="158"/>
    </row>
    <row r="606">
      <c r="A606" s="158"/>
      <c r="B606" s="231"/>
      <c r="C606" s="242"/>
      <c r="D606" s="242"/>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c r="BF606" s="158"/>
      <c r="BG606" s="158"/>
      <c r="BH606" s="158"/>
      <c r="BI606" s="158"/>
      <c r="BJ606" s="158"/>
      <c r="BK606" s="158"/>
      <c r="BL606" s="158"/>
      <c r="BM606" s="158"/>
      <c r="BN606" s="158"/>
      <c r="BO606" s="158"/>
      <c r="BP606" s="158"/>
      <c r="BQ606" s="158"/>
      <c r="BR606" s="158"/>
    </row>
    <row r="607">
      <c r="A607" s="158"/>
      <c r="B607" s="231"/>
      <c r="C607" s="242"/>
      <c r="D607" s="242"/>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c r="BF607" s="158"/>
      <c r="BG607" s="158"/>
      <c r="BH607" s="158"/>
      <c r="BI607" s="158"/>
      <c r="BJ607" s="158"/>
      <c r="BK607" s="158"/>
      <c r="BL607" s="158"/>
      <c r="BM607" s="158"/>
      <c r="BN607" s="158"/>
      <c r="BO607" s="158"/>
      <c r="BP607" s="158"/>
      <c r="BQ607" s="158"/>
      <c r="BR607" s="158"/>
    </row>
    <row r="608">
      <c r="A608" s="158"/>
      <c r="B608" s="231"/>
      <c r="C608" s="242"/>
      <c r="D608" s="242"/>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c r="AW608" s="158"/>
      <c r="AX608" s="158"/>
      <c r="AY608" s="158"/>
      <c r="AZ608" s="158"/>
      <c r="BA608" s="158"/>
      <c r="BB608" s="158"/>
      <c r="BC608" s="158"/>
      <c r="BD608" s="158"/>
      <c r="BE608" s="158"/>
      <c r="BF608" s="158"/>
      <c r="BG608" s="158"/>
      <c r="BH608" s="158"/>
      <c r="BI608" s="158"/>
      <c r="BJ608" s="158"/>
      <c r="BK608" s="158"/>
      <c r="BL608" s="158"/>
      <c r="BM608" s="158"/>
      <c r="BN608" s="158"/>
      <c r="BO608" s="158"/>
      <c r="BP608" s="158"/>
      <c r="BQ608" s="158"/>
      <c r="BR608" s="158"/>
    </row>
    <row r="609">
      <c r="A609" s="158"/>
      <c r="B609" s="231"/>
      <c r="C609" s="242"/>
      <c r="D609" s="242"/>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c r="BF609" s="158"/>
      <c r="BG609" s="158"/>
      <c r="BH609" s="158"/>
      <c r="BI609" s="158"/>
      <c r="BJ609" s="158"/>
      <c r="BK609" s="158"/>
      <c r="BL609" s="158"/>
      <c r="BM609" s="158"/>
      <c r="BN609" s="158"/>
      <c r="BO609" s="158"/>
      <c r="BP609" s="158"/>
      <c r="BQ609" s="158"/>
      <c r="BR609" s="158"/>
    </row>
    <row r="610">
      <c r="A610" s="158"/>
      <c r="B610" s="231"/>
      <c r="C610" s="242"/>
      <c r="D610" s="242"/>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c r="BF610" s="158"/>
      <c r="BG610" s="158"/>
      <c r="BH610" s="158"/>
      <c r="BI610" s="158"/>
      <c r="BJ610" s="158"/>
      <c r="BK610" s="158"/>
      <c r="BL610" s="158"/>
      <c r="BM610" s="158"/>
      <c r="BN610" s="158"/>
      <c r="BO610" s="158"/>
      <c r="BP610" s="158"/>
      <c r="BQ610" s="158"/>
      <c r="BR610" s="158"/>
    </row>
    <row r="611">
      <c r="A611" s="158"/>
      <c r="B611" s="231"/>
      <c r="C611" s="242"/>
      <c r="D611" s="242"/>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c r="AW611" s="158"/>
      <c r="AX611" s="158"/>
      <c r="AY611" s="158"/>
      <c r="AZ611" s="158"/>
      <c r="BA611" s="158"/>
      <c r="BB611" s="158"/>
      <c r="BC611" s="158"/>
      <c r="BD611" s="158"/>
      <c r="BE611" s="158"/>
      <c r="BF611" s="158"/>
      <c r="BG611" s="158"/>
      <c r="BH611" s="158"/>
      <c r="BI611" s="158"/>
      <c r="BJ611" s="158"/>
      <c r="BK611" s="158"/>
      <c r="BL611" s="158"/>
      <c r="BM611" s="158"/>
      <c r="BN611" s="158"/>
      <c r="BO611" s="158"/>
      <c r="BP611" s="158"/>
      <c r="BQ611" s="158"/>
      <c r="BR611" s="158"/>
    </row>
    <row r="612">
      <c r="A612" s="158"/>
      <c r="B612" s="231"/>
      <c r="C612" s="242"/>
      <c r="D612" s="242"/>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c r="AW612" s="158"/>
      <c r="AX612" s="158"/>
      <c r="AY612" s="158"/>
      <c r="AZ612" s="158"/>
      <c r="BA612" s="158"/>
      <c r="BB612" s="158"/>
      <c r="BC612" s="158"/>
      <c r="BD612" s="158"/>
      <c r="BE612" s="158"/>
      <c r="BF612" s="158"/>
      <c r="BG612" s="158"/>
      <c r="BH612" s="158"/>
      <c r="BI612" s="158"/>
      <c r="BJ612" s="158"/>
      <c r="BK612" s="158"/>
      <c r="BL612" s="158"/>
      <c r="BM612" s="158"/>
      <c r="BN612" s="158"/>
      <c r="BO612" s="158"/>
      <c r="BP612" s="158"/>
      <c r="BQ612" s="158"/>
      <c r="BR612" s="158"/>
    </row>
    <row r="613">
      <c r="A613" s="158"/>
      <c r="B613" s="231"/>
      <c r="C613" s="242"/>
      <c r="D613" s="242"/>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c r="AW613" s="158"/>
      <c r="AX613" s="158"/>
      <c r="AY613" s="158"/>
      <c r="AZ613" s="158"/>
      <c r="BA613" s="158"/>
      <c r="BB613" s="158"/>
      <c r="BC613" s="158"/>
      <c r="BD613" s="158"/>
      <c r="BE613" s="158"/>
      <c r="BF613" s="158"/>
      <c r="BG613" s="158"/>
      <c r="BH613" s="158"/>
      <c r="BI613" s="158"/>
      <c r="BJ613" s="158"/>
      <c r="BK613" s="158"/>
      <c r="BL613" s="158"/>
      <c r="BM613" s="158"/>
      <c r="BN613" s="158"/>
      <c r="BO613" s="158"/>
      <c r="BP613" s="158"/>
      <c r="BQ613" s="158"/>
      <c r="BR613" s="158"/>
    </row>
    <row r="614">
      <c r="A614" s="158"/>
      <c r="B614" s="231"/>
      <c r="C614" s="242"/>
      <c r="D614" s="242"/>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c r="AW614" s="158"/>
      <c r="AX614" s="158"/>
      <c r="AY614" s="158"/>
      <c r="AZ614" s="158"/>
      <c r="BA614" s="158"/>
      <c r="BB614" s="158"/>
      <c r="BC614" s="158"/>
      <c r="BD614" s="158"/>
      <c r="BE614" s="158"/>
      <c r="BF614" s="158"/>
      <c r="BG614" s="158"/>
      <c r="BH614" s="158"/>
      <c r="BI614" s="158"/>
      <c r="BJ614" s="158"/>
      <c r="BK614" s="158"/>
      <c r="BL614" s="158"/>
      <c r="BM614" s="158"/>
      <c r="BN614" s="158"/>
      <c r="BO614" s="158"/>
      <c r="BP614" s="158"/>
      <c r="BQ614" s="158"/>
      <c r="BR614" s="158"/>
    </row>
    <row r="615">
      <c r="A615" s="158"/>
      <c r="B615" s="231"/>
      <c r="C615" s="242"/>
      <c r="D615" s="242"/>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c r="AW615" s="158"/>
      <c r="AX615" s="158"/>
      <c r="AY615" s="158"/>
      <c r="AZ615" s="158"/>
      <c r="BA615" s="158"/>
      <c r="BB615" s="158"/>
      <c r="BC615" s="158"/>
      <c r="BD615" s="158"/>
      <c r="BE615" s="158"/>
      <c r="BF615" s="158"/>
      <c r="BG615" s="158"/>
      <c r="BH615" s="158"/>
      <c r="BI615" s="158"/>
      <c r="BJ615" s="158"/>
      <c r="BK615" s="158"/>
      <c r="BL615" s="158"/>
      <c r="BM615" s="158"/>
      <c r="BN615" s="158"/>
      <c r="BO615" s="158"/>
      <c r="BP615" s="158"/>
      <c r="BQ615" s="158"/>
      <c r="BR615" s="158"/>
    </row>
    <row r="616">
      <c r="A616" s="158"/>
      <c r="B616" s="231"/>
      <c r="C616" s="242"/>
      <c r="D616" s="242"/>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c r="BF616" s="158"/>
      <c r="BG616" s="158"/>
      <c r="BH616" s="158"/>
      <c r="BI616" s="158"/>
      <c r="BJ616" s="158"/>
      <c r="BK616" s="158"/>
      <c r="BL616" s="158"/>
      <c r="BM616" s="158"/>
      <c r="BN616" s="158"/>
      <c r="BO616" s="158"/>
      <c r="BP616" s="158"/>
      <c r="BQ616" s="158"/>
      <c r="BR616" s="158"/>
    </row>
    <row r="617">
      <c r="A617" s="158"/>
      <c r="B617" s="231"/>
      <c r="C617" s="242"/>
      <c r="D617" s="242"/>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c r="BF617" s="158"/>
      <c r="BG617" s="158"/>
      <c r="BH617" s="158"/>
      <c r="BI617" s="158"/>
      <c r="BJ617" s="158"/>
      <c r="BK617" s="158"/>
      <c r="BL617" s="158"/>
      <c r="BM617" s="158"/>
      <c r="BN617" s="158"/>
      <c r="BO617" s="158"/>
      <c r="BP617" s="158"/>
      <c r="BQ617" s="158"/>
      <c r="BR617" s="158"/>
    </row>
    <row r="618">
      <c r="A618" s="158"/>
      <c r="B618" s="231"/>
      <c r="C618" s="242"/>
      <c r="D618" s="242"/>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c r="BF618" s="158"/>
      <c r="BG618" s="158"/>
      <c r="BH618" s="158"/>
      <c r="BI618" s="158"/>
      <c r="BJ618" s="158"/>
      <c r="BK618" s="158"/>
      <c r="BL618" s="158"/>
      <c r="BM618" s="158"/>
      <c r="BN618" s="158"/>
      <c r="BO618" s="158"/>
      <c r="BP618" s="158"/>
      <c r="BQ618" s="158"/>
      <c r="BR618" s="158"/>
    </row>
    <row r="619">
      <c r="A619" s="158"/>
      <c r="B619" s="231"/>
      <c r="C619" s="242"/>
      <c r="D619" s="242"/>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c r="BF619" s="158"/>
      <c r="BG619" s="158"/>
      <c r="BH619" s="158"/>
      <c r="BI619" s="158"/>
      <c r="BJ619" s="158"/>
      <c r="BK619" s="158"/>
      <c r="BL619" s="158"/>
      <c r="BM619" s="158"/>
      <c r="BN619" s="158"/>
      <c r="BO619" s="158"/>
      <c r="BP619" s="158"/>
      <c r="BQ619" s="158"/>
      <c r="BR619" s="158"/>
    </row>
    <row r="620">
      <c r="A620" s="158"/>
      <c r="B620" s="231"/>
      <c r="C620" s="242"/>
      <c r="D620" s="242"/>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c r="BF620" s="158"/>
      <c r="BG620" s="158"/>
      <c r="BH620" s="158"/>
      <c r="BI620" s="158"/>
      <c r="BJ620" s="158"/>
      <c r="BK620" s="158"/>
      <c r="BL620" s="158"/>
      <c r="BM620" s="158"/>
      <c r="BN620" s="158"/>
      <c r="BO620" s="158"/>
      <c r="BP620" s="158"/>
      <c r="BQ620" s="158"/>
      <c r="BR620" s="158"/>
    </row>
    <row r="621">
      <c r="A621" s="158"/>
      <c r="B621" s="231"/>
      <c r="C621" s="242"/>
      <c r="D621" s="242"/>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c r="AW621" s="158"/>
      <c r="AX621" s="158"/>
      <c r="AY621" s="158"/>
      <c r="AZ621" s="158"/>
      <c r="BA621" s="158"/>
      <c r="BB621" s="158"/>
      <c r="BC621" s="158"/>
      <c r="BD621" s="158"/>
      <c r="BE621" s="158"/>
      <c r="BF621" s="158"/>
      <c r="BG621" s="158"/>
      <c r="BH621" s="158"/>
      <c r="BI621" s="158"/>
      <c r="BJ621" s="158"/>
      <c r="BK621" s="158"/>
      <c r="BL621" s="158"/>
      <c r="BM621" s="158"/>
      <c r="BN621" s="158"/>
      <c r="BO621" s="158"/>
      <c r="BP621" s="158"/>
      <c r="BQ621" s="158"/>
      <c r="BR621" s="158"/>
    </row>
    <row r="622">
      <c r="A622" s="158"/>
      <c r="B622" s="231"/>
      <c r="C622" s="242"/>
      <c r="D622" s="242"/>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c r="AW622" s="158"/>
      <c r="AX622" s="158"/>
      <c r="AY622" s="158"/>
      <c r="AZ622" s="158"/>
      <c r="BA622" s="158"/>
      <c r="BB622" s="158"/>
      <c r="BC622" s="158"/>
      <c r="BD622" s="158"/>
      <c r="BE622" s="158"/>
      <c r="BF622" s="158"/>
      <c r="BG622" s="158"/>
      <c r="BH622" s="158"/>
      <c r="BI622" s="158"/>
      <c r="BJ622" s="158"/>
      <c r="BK622" s="158"/>
      <c r="BL622" s="158"/>
      <c r="BM622" s="158"/>
      <c r="BN622" s="158"/>
      <c r="BO622" s="158"/>
      <c r="BP622" s="158"/>
      <c r="BQ622" s="158"/>
      <c r="BR622" s="158"/>
    </row>
    <row r="623">
      <c r="A623" s="158"/>
      <c r="B623" s="231"/>
      <c r="C623" s="242"/>
      <c r="D623" s="242"/>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c r="AW623" s="158"/>
      <c r="AX623" s="158"/>
      <c r="AY623" s="158"/>
      <c r="AZ623" s="158"/>
      <c r="BA623" s="158"/>
      <c r="BB623" s="158"/>
      <c r="BC623" s="158"/>
      <c r="BD623" s="158"/>
      <c r="BE623" s="158"/>
      <c r="BF623" s="158"/>
      <c r="BG623" s="158"/>
      <c r="BH623" s="158"/>
      <c r="BI623" s="158"/>
      <c r="BJ623" s="158"/>
      <c r="BK623" s="158"/>
      <c r="BL623" s="158"/>
      <c r="BM623" s="158"/>
      <c r="BN623" s="158"/>
      <c r="BO623" s="158"/>
      <c r="BP623" s="158"/>
      <c r="BQ623" s="158"/>
      <c r="BR623" s="158"/>
    </row>
    <row r="624">
      <c r="A624" s="158"/>
      <c r="B624" s="231"/>
      <c r="C624" s="242"/>
      <c r="D624" s="242"/>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c r="AW624" s="158"/>
      <c r="AX624" s="158"/>
      <c r="AY624" s="158"/>
      <c r="AZ624" s="158"/>
      <c r="BA624" s="158"/>
      <c r="BB624" s="158"/>
      <c r="BC624" s="158"/>
      <c r="BD624" s="158"/>
      <c r="BE624" s="158"/>
      <c r="BF624" s="158"/>
      <c r="BG624" s="158"/>
      <c r="BH624" s="158"/>
      <c r="BI624" s="158"/>
      <c r="BJ624" s="158"/>
      <c r="BK624" s="158"/>
      <c r="BL624" s="158"/>
      <c r="BM624" s="158"/>
      <c r="BN624" s="158"/>
      <c r="BO624" s="158"/>
      <c r="BP624" s="158"/>
      <c r="BQ624" s="158"/>
      <c r="BR624" s="158"/>
    </row>
    <row r="625">
      <c r="A625" s="158"/>
      <c r="B625" s="231"/>
      <c r="C625" s="242"/>
      <c r="D625" s="242"/>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c r="AW625" s="158"/>
      <c r="AX625" s="158"/>
      <c r="AY625" s="158"/>
      <c r="AZ625" s="158"/>
      <c r="BA625" s="158"/>
      <c r="BB625" s="158"/>
      <c r="BC625" s="158"/>
      <c r="BD625" s="158"/>
      <c r="BE625" s="158"/>
      <c r="BF625" s="158"/>
      <c r="BG625" s="158"/>
      <c r="BH625" s="158"/>
      <c r="BI625" s="158"/>
      <c r="BJ625" s="158"/>
      <c r="BK625" s="158"/>
      <c r="BL625" s="158"/>
      <c r="BM625" s="158"/>
      <c r="BN625" s="158"/>
      <c r="BO625" s="158"/>
      <c r="BP625" s="158"/>
      <c r="BQ625" s="158"/>
      <c r="BR625" s="158"/>
    </row>
    <row r="626">
      <c r="A626" s="158"/>
      <c r="B626" s="231"/>
      <c r="C626" s="242"/>
      <c r="D626" s="242"/>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c r="AW626" s="158"/>
      <c r="AX626" s="158"/>
      <c r="AY626" s="158"/>
      <c r="AZ626" s="158"/>
      <c r="BA626" s="158"/>
      <c r="BB626" s="158"/>
      <c r="BC626" s="158"/>
      <c r="BD626" s="158"/>
      <c r="BE626" s="158"/>
      <c r="BF626" s="158"/>
      <c r="BG626" s="158"/>
      <c r="BH626" s="158"/>
      <c r="BI626" s="158"/>
      <c r="BJ626" s="158"/>
      <c r="BK626" s="158"/>
      <c r="BL626" s="158"/>
      <c r="BM626" s="158"/>
      <c r="BN626" s="158"/>
      <c r="BO626" s="158"/>
      <c r="BP626" s="158"/>
      <c r="BQ626" s="158"/>
      <c r="BR626" s="158"/>
    </row>
    <row r="627">
      <c r="A627" s="158"/>
      <c r="B627" s="231"/>
      <c r="C627" s="242"/>
      <c r="D627" s="242"/>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c r="AW627" s="158"/>
      <c r="AX627" s="158"/>
      <c r="AY627" s="158"/>
      <c r="AZ627" s="158"/>
      <c r="BA627" s="158"/>
      <c r="BB627" s="158"/>
      <c r="BC627" s="158"/>
      <c r="BD627" s="158"/>
      <c r="BE627" s="158"/>
      <c r="BF627" s="158"/>
      <c r="BG627" s="158"/>
      <c r="BH627" s="158"/>
      <c r="BI627" s="158"/>
      <c r="BJ627" s="158"/>
      <c r="BK627" s="158"/>
      <c r="BL627" s="158"/>
      <c r="BM627" s="158"/>
      <c r="BN627" s="158"/>
      <c r="BO627" s="158"/>
      <c r="BP627" s="158"/>
      <c r="BQ627" s="158"/>
      <c r="BR627" s="158"/>
    </row>
    <row r="628">
      <c r="A628" s="158"/>
      <c r="B628" s="231"/>
      <c r="C628" s="242"/>
      <c r="D628" s="242"/>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c r="BF628" s="158"/>
      <c r="BG628" s="158"/>
      <c r="BH628" s="158"/>
      <c r="BI628" s="158"/>
      <c r="BJ628" s="158"/>
      <c r="BK628" s="158"/>
      <c r="BL628" s="158"/>
      <c r="BM628" s="158"/>
      <c r="BN628" s="158"/>
      <c r="BO628" s="158"/>
      <c r="BP628" s="158"/>
      <c r="BQ628" s="158"/>
      <c r="BR628" s="158"/>
    </row>
    <row r="629">
      <c r="A629" s="158"/>
      <c r="B629" s="231"/>
      <c r="C629" s="242"/>
      <c r="D629" s="242"/>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c r="BF629" s="158"/>
      <c r="BG629" s="158"/>
      <c r="BH629" s="158"/>
      <c r="BI629" s="158"/>
      <c r="BJ629" s="158"/>
      <c r="BK629" s="158"/>
      <c r="BL629" s="158"/>
      <c r="BM629" s="158"/>
      <c r="BN629" s="158"/>
      <c r="BO629" s="158"/>
      <c r="BP629" s="158"/>
      <c r="BQ629" s="158"/>
      <c r="BR629" s="158"/>
    </row>
    <row r="630">
      <c r="A630" s="158"/>
      <c r="B630" s="231"/>
      <c r="C630" s="242"/>
      <c r="D630" s="242"/>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c r="BF630" s="158"/>
      <c r="BG630" s="158"/>
      <c r="BH630" s="158"/>
      <c r="BI630" s="158"/>
      <c r="BJ630" s="158"/>
      <c r="BK630" s="158"/>
      <c r="BL630" s="158"/>
      <c r="BM630" s="158"/>
      <c r="BN630" s="158"/>
      <c r="BO630" s="158"/>
      <c r="BP630" s="158"/>
      <c r="BQ630" s="158"/>
      <c r="BR630" s="158"/>
    </row>
    <row r="631">
      <c r="A631" s="158"/>
      <c r="B631" s="231"/>
      <c r="C631" s="242"/>
      <c r="D631" s="242"/>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c r="AW631" s="158"/>
      <c r="AX631" s="158"/>
      <c r="AY631" s="158"/>
      <c r="AZ631" s="158"/>
      <c r="BA631" s="158"/>
      <c r="BB631" s="158"/>
      <c r="BC631" s="158"/>
      <c r="BD631" s="158"/>
      <c r="BE631" s="158"/>
      <c r="BF631" s="158"/>
      <c r="BG631" s="158"/>
      <c r="BH631" s="158"/>
      <c r="BI631" s="158"/>
      <c r="BJ631" s="158"/>
      <c r="BK631" s="158"/>
      <c r="BL631" s="158"/>
      <c r="BM631" s="158"/>
      <c r="BN631" s="158"/>
      <c r="BO631" s="158"/>
      <c r="BP631" s="158"/>
      <c r="BQ631" s="158"/>
      <c r="BR631" s="158"/>
    </row>
    <row r="632">
      <c r="A632" s="158"/>
      <c r="B632" s="231"/>
      <c r="C632" s="242"/>
      <c r="D632" s="242"/>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c r="AW632" s="158"/>
      <c r="AX632" s="158"/>
      <c r="AY632" s="158"/>
      <c r="AZ632" s="158"/>
      <c r="BA632" s="158"/>
      <c r="BB632" s="158"/>
      <c r="BC632" s="158"/>
      <c r="BD632" s="158"/>
      <c r="BE632" s="158"/>
      <c r="BF632" s="158"/>
      <c r="BG632" s="158"/>
      <c r="BH632" s="158"/>
      <c r="BI632" s="158"/>
      <c r="BJ632" s="158"/>
      <c r="BK632" s="158"/>
      <c r="BL632" s="158"/>
      <c r="BM632" s="158"/>
      <c r="BN632" s="158"/>
      <c r="BO632" s="158"/>
      <c r="BP632" s="158"/>
      <c r="BQ632" s="158"/>
      <c r="BR632" s="158"/>
    </row>
    <row r="633">
      <c r="A633" s="158"/>
      <c r="B633" s="231"/>
      <c r="C633" s="242"/>
      <c r="D633" s="242"/>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c r="AW633" s="158"/>
      <c r="AX633" s="158"/>
      <c r="AY633" s="158"/>
      <c r="AZ633" s="158"/>
      <c r="BA633" s="158"/>
      <c r="BB633" s="158"/>
      <c r="BC633" s="158"/>
      <c r="BD633" s="158"/>
      <c r="BE633" s="158"/>
      <c r="BF633" s="158"/>
      <c r="BG633" s="158"/>
      <c r="BH633" s="158"/>
      <c r="BI633" s="158"/>
      <c r="BJ633" s="158"/>
      <c r="BK633" s="158"/>
      <c r="BL633" s="158"/>
      <c r="BM633" s="158"/>
      <c r="BN633" s="158"/>
      <c r="BO633" s="158"/>
      <c r="BP633" s="158"/>
      <c r="BQ633" s="158"/>
      <c r="BR633" s="158"/>
    </row>
    <row r="634">
      <c r="A634" s="158"/>
      <c r="B634" s="231"/>
      <c r="C634" s="242"/>
      <c r="D634" s="242"/>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c r="AW634" s="158"/>
      <c r="AX634" s="158"/>
      <c r="AY634" s="158"/>
      <c r="AZ634" s="158"/>
      <c r="BA634" s="158"/>
      <c r="BB634" s="158"/>
      <c r="BC634" s="158"/>
      <c r="BD634" s="158"/>
      <c r="BE634" s="158"/>
      <c r="BF634" s="158"/>
      <c r="BG634" s="158"/>
      <c r="BH634" s="158"/>
      <c r="BI634" s="158"/>
      <c r="BJ634" s="158"/>
      <c r="BK634" s="158"/>
      <c r="BL634" s="158"/>
      <c r="BM634" s="158"/>
      <c r="BN634" s="158"/>
      <c r="BO634" s="158"/>
      <c r="BP634" s="158"/>
      <c r="BQ634" s="158"/>
      <c r="BR634" s="158"/>
    </row>
    <row r="635">
      <c r="A635" s="158"/>
      <c r="B635" s="231"/>
      <c r="C635" s="242"/>
      <c r="D635" s="242"/>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c r="BF635" s="158"/>
      <c r="BG635" s="158"/>
      <c r="BH635" s="158"/>
      <c r="BI635" s="158"/>
      <c r="BJ635" s="158"/>
      <c r="BK635" s="158"/>
      <c r="BL635" s="158"/>
      <c r="BM635" s="158"/>
      <c r="BN635" s="158"/>
      <c r="BO635" s="158"/>
      <c r="BP635" s="158"/>
      <c r="BQ635" s="158"/>
      <c r="BR635" s="158"/>
    </row>
    <row r="636">
      <c r="A636" s="158"/>
      <c r="B636" s="231"/>
      <c r="C636" s="242"/>
      <c r="D636" s="242"/>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c r="BF636" s="158"/>
      <c r="BG636" s="158"/>
      <c r="BH636" s="158"/>
      <c r="BI636" s="158"/>
      <c r="BJ636" s="158"/>
      <c r="BK636" s="158"/>
      <c r="BL636" s="158"/>
      <c r="BM636" s="158"/>
      <c r="BN636" s="158"/>
      <c r="BO636" s="158"/>
      <c r="BP636" s="158"/>
      <c r="BQ636" s="158"/>
      <c r="BR636" s="158"/>
    </row>
    <row r="637">
      <c r="A637" s="158"/>
      <c r="B637" s="231"/>
      <c r="C637" s="242"/>
      <c r="D637" s="242"/>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c r="BF637" s="158"/>
      <c r="BG637" s="158"/>
      <c r="BH637" s="158"/>
      <c r="BI637" s="158"/>
      <c r="BJ637" s="158"/>
      <c r="BK637" s="158"/>
      <c r="BL637" s="158"/>
      <c r="BM637" s="158"/>
      <c r="BN637" s="158"/>
      <c r="BO637" s="158"/>
      <c r="BP637" s="158"/>
      <c r="BQ637" s="158"/>
      <c r="BR637" s="158"/>
    </row>
    <row r="638">
      <c r="A638" s="158"/>
      <c r="B638" s="231"/>
      <c r="C638" s="242"/>
      <c r="D638" s="242"/>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c r="BF638" s="158"/>
      <c r="BG638" s="158"/>
      <c r="BH638" s="158"/>
      <c r="BI638" s="158"/>
      <c r="BJ638" s="158"/>
      <c r="BK638" s="158"/>
      <c r="BL638" s="158"/>
      <c r="BM638" s="158"/>
      <c r="BN638" s="158"/>
      <c r="BO638" s="158"/>
      <c r="BP638" s="158"/>
      <c r="BQ638" s="158"/>
      <c r="BR638" s="158"/>
    </row>
    <row r="639">
      <c r="A639" s="158"/>
      <c r="B639" s="231"/>
      <c r="C639" s="242"/>
      <c r="D639" s="242"/>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row>
    <row r="640">
      <c r="A640" s="158"/>
      <c r="B640" s="231"/>
      <c r="C640" s="242"/>
      <c r="D640" s="242"/>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row>
    <row r="641">
      <c r="A641" s="158"/>
      <c r="B641" s="231"/>
      <c r="C641" s="242"/>
      <c r="D641" s="242"/>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row>
    <row r="642">
      <c r="A642" s="158"/>
      <c r="B642" s="231"/>
      <c r="C642" s="242"/>
      <c r="D642" s="242"/>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row>
    <row r="643">
      <c r="A643" s="158"/>
      <c r="B643" s="231"/>
      <c r="C643" s="242"/>
      <c r="D643" s="242"/>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row>
    <row r="644">
      <c r="A644" s="158"/>
      <c r="B644" s="231"/>
      <c r="C644" s="242"/>
      <c r="D644" s="242"/>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row>
    <row r="645">
      <c r="A645" s="158"/>
      <c r="B645" s="231"/>
      <c r="C645" s="242"/>
      <c r="D645" s="242"/>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row>
    <row r="646">
      <c r="A646" s="158"/>
      <c r="B646" s="231"/>
      <c r="C646" s="242"/>
      <c r="D646" s="242"/>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c r="AW646" s="158"/>
      <c r="AX646" s="158"/>
      <c r="AY646" s="158"/>
      <c r="AZ646" s="158"/>
      <c r="BA646" s="158"/>
      <c r="BB646" s="158"/>
      <c r="BC646" s="158"/>
      <c r="BD646" s="158"/>
      <c r="BE646" s="158"/>
      <c r="BF646" s="158"/>
      <c r="BG646" s="158"/>
      <c r="BH646" s="158"/>
      <c r="BI646" s="158"/>
      <c r="BJ646" s="158"/>
      <c r="BK646" s="158"/>
      <c r="BL646" s="158"/>
      <c r="BM646" s="158"/>
      <c r="BN646" s="158"/>
      <c r="BO646" s="158"/>
      <c r="BP646" s="158"/>
      <c r="BQ646" s="158"/>
      <c r="BR646" s="158"/>
    </row>
    <row r="647">
      <c r="A647" s="158"/>
      <c r="B647" s="231"/>
      <c r="C647" s="242"/>
      <c r="D647" s="242"/>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c r="AW647" s="158"/>
      <c r="AX647" s="158"/>
      <c r="AY647" s="158"/>
      <c r="AZ647" s="158"/>
      <c r="BA647" s="158"/>
      <c r="BB647" s="158"/>
      <c r="BC647" s="158"/>
      <c r="BD647" s="158"/>
      <c r="BE647" s="158"/>
      <c r="BF647" s="158"/>
      <c r="BG647" s="158"/>
      <c r="BH647" s="158"/>
      <c r="BI647" s="158"/>
      <c r="BJ647" s="158"/>
      <c r="BK647" s="158"/>
      <c r="BL647" s="158"/>
      <c r="BM647" s="158"/>
      <c r="BN647" s="158"/>
      <c r="BO647" s="158"/>
      <c r="BP647" s="158"/>
      <c r="BQ647" s="158"/>
      <c r="BR647" s="158"/>
    </row>
    <row r="648">
      <c r="A648" s="158"/>
      <c r="B648" s="231"/>
      <c r="C648" s="242"/>
      <c r="D648" s="242"/>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c r="AW648" s="158"/>
      <c r="AX648" s="158"/>
      <c r="AY648" s="158"/>
      <c r="AZ648" s="158"/>
      <c r="BA648" s="158"/>
      <c r="BB648" s="158"/>
      <c r="BC648" s="158"/>
      <c r="BD648" s="158"/>
      <c r="BE648" s="158"/>
      <c r="BF648" s="158"/>
      <c r="BG648" s="158"/>
      <c r="BH648" s="158"/>
      <c r="BI648" s="158"/>
      <c r="BJ648" s="158"/>
      <c r="BK648" s="158"/>
      <c r="BL648" s="158"/>
      <c r="BM648" s="158"/>
      <c r="BN648" s="158"/>
      <c r="BO648" s="158"/>
      <c r="BP648" s="158"/>
      <c r="BQ648" s="158"/>
      <c r="BR648" s="158"/>
    </row>
    <row r="649">
      <c r="A649" s="158"/>
      <c r="B649" s="231"/>
      <c r="C649" s="242"/>
      <c r="D649" s="242"/>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c r="AW649" s="158"/>
      <c r="AX649" s="158"/>
      <c r="AY649" s="158"/>
      <c r="AZ649" s="158"/>
      <c r="BA649" s="158"/>
      <c r="BB649" s="158"/>
      <c r="BC649" s="158"/>
      <c r="BD649" s="158"/>
      <c r="BE649" s="158"/>
      <c r="BF649" s="158"/>
      <c r="BG649" s="158"/>
      <c r="BH649" s="158"/>
      <c r="BI649" s="158"/>
      <c r="BJ649" s="158"/>
      <c r="BK649" s="158"/>
      <c r="BL649" s="158"/>
      <c r="BM649" s="158"/>
      <c r="BN649" s="158"/>
      <c r="BO649" s="158"/>
      <c r="BP649" s="158"/>
      <c r="BQ649" s="158"/>
      <c r="BR649" s="158"/>
    </row>
    <row r="650">
      <c r="A650" s="158"/>
      <c r="B650" s="231"/>
      <c r="C650" s="242"/>
      <c r="D650" s="242"/>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c r="AW650" s="158"/>
      <c r="AX650" s="158"/>
      <c r="AY650" s="158"/>
      <c r="AZ650" s="158"/>
      <c r="BA650" s="158"/>
      <c r="BB650" s="158"/>
      <c r="BC650" s="158"/>
      <c r="BD650" s="158"/>
      <c r="BE650" s="158"/>
      <c r="BF650" s="158"/>
      <c r="BG650" s="158"/>
      <c r="BH650" s="158"/>
      <c r="BI650" s="158"/>
      <c r="BJ650" s="158"/>
      <c r="BK650" s="158"/>
      <c r="BL650" s="158"/>
      <c r="BM650" s="158"/>
      <c r="BN650" s="158"/>
      <c r="BO650" s="158"/>
      <c r="BP650" s="158"/>
      <c r="BQ650" s="158"/>
      <c r="BR650" s="158"/>
    </row>
    <row r="651">
      <c r="A651" s="158"/>
      <c r="B651" s="231"/>
      <c r="C651" s="242"/>
      <c r="D651" s="242"/>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c r="AW651" s="158"/>
      <c r="AX651" s="158"/>
      <c r="AY651" s="158"/>
      <c r="AZ651" s="158"/>
      <c r="BA651" s="158"/>
      <c r="BB651" s="158"/>
      <c r="BC651" s="158"/>
      <c r="BD651" s="158"/>
      <c r="BE651" s="158"/>
      <c r="BF651" s="158"/>
      <c r="BG651" s="158"/>
      <c r="BH651" s="158"/>
      <c r="BI651" s="158"/>
      <c r="BJ651" s="158"/>
      <c r="BK651" s="158"/>
      <c r="BL651" s="158"/>
      <c r="BM651" s="158"/>
      <c r="BN651" s="158"/>
      <c r="BO651" s="158"/>
      <c r="BP651" s="158"/>
      <c r="BQ651" s="158"/>
      <c r="BR651" s="158"/>
    </row>
    <row r="652">
      <c r="A652" s="158"/>
      <c r="B652" s="231"/>
      <c r="C652" s="242"/>
      <c r="D652" s="242"/>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c r="AW652" s="158"/>
      <c r="AX652" s="158"/>
      <c r="AY652" s="158"/>
      <c r="AZ652" s="158"/>
      <c r="BA652" s="158"/>
      <c r="BB652" s="158"/>
      <c r="BC652" s="158"/>
      <c r="BD652" s="158"/>
      <c r="BE652" s="158"/>
      <c r="BF652" s="158"/>
      <c r="BG652" s="158"/>
      <c r="BH652" s="158"/>
      <c r="BI652" s="158"/>
      <c r="BJ652" s="158"/>
      <c r="BK652" s="158"/>
      <c r="BL652" s="158"/>
      <c r="BM652" s="158"/>
      <c r="BN652" s="158"/>
      <c r="BO652" s="158"/>
      <c r="BP652" s="158"/>
      <c r="BQ652" s="158"/>
      <c r="BR652" s="158"/>
    </row>
    <row r="653">
      <c r="A653" s="158"/>
      <c r="B653" s="231"/>
      <c r="C653" s="242"/>
      <c r="D653" s="242"/>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8"/>
      <c r="BR653" s="158"/>
    </row>
    <row r="654">
      <c r="A654" s="158"/>
      <c r="B654" s="231"/>
      <c r="C654" s="242"/>
      <c r="D654" s="242"/>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8"/>
      <c r="BR654" s="158"/>
    </row>
    <row r="655">
      <c r="A655" s="158"/>
      <c r="B655" s="231"/>
      <c r="C655" s="242"/>
      <c r="D655" s="242"/>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8"/>
      <c r="BR655" s="158"/>
    </row>
    <row r="656">
      <c r="A656" s="158"/>
      <c r="B656" s="231"/>
      <c r="C656" s="242"/>
      <c r="D656" s="242"/>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8"/>
      <c r="BR656" s="158"/>
    </row>
    <row r="657">
      <c r="A657" s="158"/>
      <c r="B657" s="231"/>
      <c r="C657" s="242"/>
      <c r="D657" s="242"/>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8"/>
      <c r="BR657" s="158"/>
    </row>
    <row r="658">
      <c r="A658" s="158"/>
      <c r="B658" s="231"/>
      <c r="C658" s="242"/>
      <c r="D658" s="242"/>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8"/>
      <c r="BR658" s="158"/>
    </row>
    <row r="659">
      <c r="A659" s="158"/>
      <c r="B659" s="231"/>
      <c r="C659" s="242"/>
      <c r="D659" s="242"/>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8"/>
      <c r="BR659" s="158"/>
    </row>
    <row r="660">
      <c r="A660" s="158"/>
      <c r="B660" s="231"/>
      <c r="C660" s="242"/>
      <c r="D660" s="242"/>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8"/>
      <c r="BR660" s="158"/>
    </row>
    <row r="661">
      <c r="A661" s="158"/>
      <c r="B661" s="231"/>
      <c r="C661" s="242"/>
      <c r="D661" s="242"/>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8"/>
      <c r="BR661" s="158"/>
    </row>
    <row r="662">
      <c r="A662" s="158"/>
      <c r="B662" s="231"/>
      <c r="C662" s="242"/>
      <c r="D662" s="242"/>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c r="BF662" s="158"/>
      <c r="BG662" s="158"/>
      <c r="BH662" s="158"/>
      <c r="BI662" s="158"/>
      <c r="BJ662" s="158"/>
      <c r="BK662" s="158"/>
      <c r="BL662" s="158"/>
      <c r="BM662" s="158"/>
      <c r="BN662" s="158"/>
      <c r="BO662" s="158"/>
      <c r="BP662" s="158"/>
      <c r="BQ662" s="158"/>
      <c r="BR662" s="158"/>
    </row>
    <row r="663">
      <c r="A663" s="158"/>
      <c r="B663" s="231"/>
      <c r="C663" s="242"/>
      <c r="D663" s="242"/>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c r="BF663" s="158"/>
      <c r="BG663" s="158"/>
      <c r="BH663" s="158"/>
      <c r="BI663" s="158"/>
      <c r="BJ663" s="158"/>
      <c r="BK663" s="158"/>
      <c r="BL663" s="158"/>
      <c r="BM663" s="158"/>
      <c r="BN663" s="158"/>
      <c r="BO663" s="158"/>
      <c r="BP663" s="158"/>
      <c r="BQ663" s="158"/>
      <c r="BR663" s="158"/>
    </row>
    <row r="664">
      <c r="A664" s="158"/>
      <c r="B664" s="231"/>
      <c r="C664" s="242"/>
      <c r="D664" s="242"/>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c r="AW664" s="158"/>
      <c r="AX664" s="158"/>
      <c r="AY664" s="158"/>
      <c r="AZ664" s="158"/>
      <c r="BA664" s="158"/>
      <c r="BB664" s="158"/>
      <c r="BC664" s="158"/>
      <c r="BD664" s="158"/>
      <c r="BE664" s="158"/>
      <c r="BF664" s="158"/>
      <c r="BG664" s="158"/>
      <c r="BH664" s="158"/>
      <c r="BI664" s="158"/>
      <c r="BJ664" s="158"/>
      <c r="BK664" s="158"/>
      <c r="BL664" s="158"/>
      <c r="BM664" s="158"/>
      <c r="BN664" s="158"/>
      <c r="BO664" s="158"/>
      <c r="BP664" s="158"/>
      <c r="BQ664" s="158"/>
      <c r="BR664" s="158"/>
    </row>
    <row r="665">
      <c r="A665" s="158"/>
      <c r="B665" s="231"/>
      <c r="C665" s="242"/>
      <c r="D665" s="242"/>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c r="BF665" s="158"/>
      <c r="BG665" s="158"/>
      <c r="BH665" s="158"/>
      <c r="BI665" s="158"/>
      <c r="BJ665" s="158"/>
      <c r="BK665" s="158"/>
      <c r="BL665" s="158"/>
      <c r="BM665" s="158"/>
      <c r="BN665" s="158"/>
      <c r="BO665" s="158"/>
      <c r="BP665" s="158"/>
      <c r="BQ665" s="158"/>
      <c r="BR665" s="158"/>
    </row>
    <row r="666">
      <c r="A666" s="158"/>
      <c r="B666" s="231"/>
      <c r="C666" s="242"/>
      <c r="D666" s="242"/>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c r="BF666" s="158"/>
      <c r="BG666" s="158"/>
      <c r="BH666" s="158"/>
      <c r="BI666" s="158"/>
      <c r="BJ666" s="158"/>
      <c r="BK666" s="158"/>
      <c r="BL666" s="158"/>
      <c r="BM666" s="158"/>
      <c r="BN666" s="158"/>
      <c r="BO666" s="158"/>
      <c r="BP666" s="158"/>
      <c r="BQ666" s="158"/>
      <c r="BR666" s="158"/>
    </row>
    <row r="667">
      <c r="A667" s="158"/>
      <c r="B667" s="231"/>
      <c r="C667" s="242"/>
      <c r="D667" s="242"/>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c r="AW667" s="158"/>
      <c r="AX667" s="158"/>
      <c r="AY667" s="158"/>
      <c r="AZ667" s="158"/>
      <c r="BA667" s="158"/>
      <c r="BB667" s="158"/>
      <c r="BC667" s="158"/>
      <c r="BD667" s="158"/>
      <c r="BE667" s="158"/>
      <c r="BF667" s="158"/>
      <c r="BG667" s="158"/>
      <c r="BH667" s="158"/>
      <c r="BI667" s="158"/>
      <c r="BJ667" s="158"/>
      <c r="BK667" s="158"/>
      <c r="BL667" s="158"/>
      <c r="BM667" s="158"/>
      <c r="BN667" s="158"/>
      <c r="BO667" s="158"/>
      <c r="BP667" s="158"/>
      <c r="BQ667" s="158"/>
      <c r="BR667" s="158"/>
    </row>
    <row r="668">
      <c r="A668" s="158"/>
      <c r="B668" s="231"/>
      <c r="C668" s="242"/>
      <c r="D668" s="242"/>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c r="BF668" s="158"/>
      <c r="BG668" s="158"/>
      <c r="BH668" s="158"/>
      <c r="BI668" s="158"/>
      <c r="BJ668" s="158"/>
      <c r="BK668" s="158"/>
      <c r="BL668" s="158"/>
      <c r="BM668" s="158"/>
      <c r="BN668" s="158"/>
      <c r="BO668" s="158"/>
      <c r="BP668" s="158"/>
      <c r="BQ668" s="158"/>
      <c r="BR668" s="158"/>
    </row>
    <row r="669">
      <c r="A669" s="158"/>
      <c r="B669" s="231"/>
      <c r="C669" s="242"/>
      <c r="D669" s="242"/>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c r="AW669" s="158"/>
      <c r="AX669" s="158"/>
      <c r="AY669" s="158"/>
      <c r="AZ669" s="158"/>
      <c r="BA669" s="158"/>
      <c r="BB669" s="158"/>
      <c r="BC669" s="158"/>
      <c r="BD669" s="158"/>
      <c r="BE669" s="158"/>
      <c r="BF669" s="158"/>
      <c r="BG669" s="158"/>
      <c r="BH669" s="158"/>
      <c r="BI669" s="158"/>
      <c r="BJ669" s="158"/>
      <c r="BK669" s="158"/>
      <c r="BL669" s="158"/>
      <c r="BM669" s="158"/>
      <c r="BN669" s="158"/>
      <c r="BO669" s="158"/>
      <c r="BP669" s="158"/>
      <c r="BQ669" s="158"/>
      <c r="BR669" s="158"/>
    </row>
    <row r="670">
      <c r="A670" s="158"/>
      <c r="B670" s="231"/>
      <c r="C670" s="242"/>
      <c r="D670" s="242"/>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c r="BF670" s="158"/>
      <c r="BG670" s="158"/>
      <c r="BH670" s="158"/>
      <c r="BI670" s="158"/>
      <c r="BJ670" s="158"/>
      <c r="BK670" s="158"/>
      <c r="BL670" s="158"/>
      <c r="BM670" s="158"/>
      <c r="BN670" s="158"/>
      <c r="BO670" s="158"/>
      <c r="BP670" s="158"/>
      <c r="BQ670" s="158"/>
      <c r="BR670" s="158"/>
    </row>
    <row r="671">
      <c r="A671" s="158"/>
      <c r="B671" s="231"/>
      <c r="C671" s="242"/>
      <c r="D671" s="242"/>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c r="BF671" s="158"/>
      <c r="BG671" s="158"/>
      <c r="BH671" s="158"/>
      <c r="BI671" s="158"/>
      <c r="BJ671" s="158"/>
      <c r="BK671" s="158"/>
      <c r="BL671" s="158"/>
      <c r="BM671" s="158"/>
      <c r="BN671" s="158"/>
      <c r="BO671" s="158"/>
      <c r="BP671" s="158"/>
      <c r="BQ671" s="158"/>
      <c r="BR671" s="158"/>
    </row>
    <row r="672">
      <c r="A672" s="158"/>
      <c r="B672" s="231"/>
      <c r="C672" s="242"/>
      <c r="D672" s="242"/>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c r="BF672" s="158"/>
      <c r="BG672" s="158"/>
      <c r="BH672" s="158"/>
      <c r="BI672" s="158"/>
      <c r="BJ672" s="158"/>
      <c r="BK672" s="158"/>
      <c r="BL672" s="158"/>
      <c r="BM672" s="158"/>
      <c r="BN672" s="158"/>
      <c r="BO672" s="158"/>
      <c r="BP672" s="158"/>
      <c r="BQ672" s="158"/>
      <c r="BR672" s="158"/>
    </row>
    <row r="673">
      <c r="A673" s="158"/>
      <c r="B673" s="231"/>
      <c r="C673" s="242"/>
      <c r="D673" s="242"/>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c r="BF673" s="158"/>
      <c r="BG673" s="158"/>
      <c r="BH673" s="158"/>
      <c r="BI673" s="158"/>
      <c r="BJ673" s="158"/>
      <c r="BK673" s="158"/>
      <c r="BL673" s="158"/>
      <c r="BM673" s="158"/>
      <c r="BN673" s="158"/>
      <c r="BO673" s="158"/>
      <c r="BP673" s="158"/>
      <c r="BQ673" s="158"/>
      <c r="BR673" s="158"/>
    </row>
    <row r="674">
      <c r="A674" s="158"/>
      <c r="B674" s="231"/>
      <c r="C674" s="242"/>
      <c r="D674" s="242"/>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c r="BF674" s="158"/>
      <c r="BG674" s="158"/>
      <c r="BH674" s="158"/>
      <c r="BI674" s="158"/>
      <c r="BJ674" s="158"/>
      <c r="BK674" s="158"/>
      <c r="BL674" s="158"/>
      <c r="BM674" s="158"/>
      <c r="BN674" s="158"/>
      <c r="BO674" s="158"/>
      <c r="BP674" s="158"/>
      <c r="BQ674" s="158"/>
      <c r="BR674" s="158"/>
    </row>
    <row r="675">
      <c r="A675" s="158"/>
      <c r="B675" s="231"/>
      <c r="C675" s="242"/>
      <c r="D675" s="242"/>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c r="BF675" s="158"/>
      <c r="BG675" s="158"/>
      <c r="BH675" s="158"/>
      <c r="BI675" s="158"/>
      <c r="BJ675" s="158"/>
      <c r="BK675" s="158"/>
      <c r="BL675" s="158"/>
      <c r="BM675" s="158"/>
      <c r="BN675" s="158"/>
      <c r="BO675" s="158"/>
      <c r="BP675" s="158"/>
      <c r="BQ675" s="158"/>
      <c r="BR675" s="158"/>
    </row>
    <row r="676">
      <c r="A676" s="158"/>
      <c r="B676" s="231"/>
      <c r="C676" s="242"/>
      <c r="D676" s="242"/>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c r="AW676" s="158"/>
      <c r="AX676" s="158"/>
      <c r="AY676" s="158"/>
      <c r="AZ676" s="158"/>
      <c r="BA676" s="158"/>
      <c r="BB676" s="158"/>
      <c r="BC676" s="158"/>
      <c r="BD676" s="158"/>
      <c r="BE676" s="158"/>
      <c r="BF676" s="158"/>
      <c r="BG676" s="158"/>
      <c r="BH676" s="158"/>
      <c r="BI676" s="158"/>
      <c r="BJ676" s="158"/>
      <c r="BK676" s="158"/>
      <c r="BL676" s="158"/>
      <c r="BM676" s="158"/>
      <c r="BN676" s="158"/>
      <c r="BO676" s="158"/>
      <c r="BP676" s="158"/>
      <c r="BQ676" s="158"/>
      <c r="BR676" s="158"/>
    </row>
    <row r="677">
      <c r="A677" s="158"/>
      <c r="B677" s="231"/>
      <c r="C677" s="242"/>
      <c r="D677" s="242"/>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c r="BF677" s="158"/>
      <c r="BG677" s="158"/>
      <c r="BH677" s="158"/>
      <c r="BI677" s="158"/>
      <c r="BJ677" s="158"/>
      <c r="BK677" s="158"/>
      <c r="BL677" s="158"/>
      <c r="BM677" s="158"/>
      <c r="BN677" s="158"/>
      <c r="BO677" s="158"/>
      <c r="BP677" s="158"/>
      <c r="BQ677" s="158"/>
      <c r="BR677" s="158"/>
    </row>
    <row r="678">
      <c r="A678" s="158"/>
      <c r="B678" s="231"/>
      <c r="C678" s="242"/>
      <c r="D678" s="242"/>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c r="BF678" s="158"/>
      <c r="BG678" s="158"/>
      <c r="BH678" s="158"/>
      <c r="BI678" s="158"/>
      <c r="BJ678" s="158"/>
      <c r="BK678" s="158"/>
      <c r="BL678" s="158"/>
      <c r="BM678" s="158"/>
      <c r="BN678" s="158"/>
      <c r="BO678" s="158"/>
      <c r="BP678" s="158"/>
      <c r="BQ678" s="158"/>
      <c r="BR678" s="158"/>
    </row>
    <row r="679">
      <c r="A679" s="158"/>
      <c r="B679" s="231"/>
      <c r="C679" s="242"/>
      <c r="D679" s="242"/>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c r="BF679" s="158"/>
      <c r="BG679" s="158"/>
      <c r="BH679" s="158"/>
      <c r="BI679" s="158"/>
      <c r="BJ679" s="158"/>
      <c r="BK679" s="158"/>
      <c r="BL679" s="158"/>
      <c r="BM679" s="158"/>
      <c r="BN679" s="158"/>
      <c r="BO679" s="158"/>
      <c r="BP679" s="158"/>
      <c r="BQ679" s="158"/>
      <c r="BR679" s="158"/>
    </row>
    <row r="680">
      <c r="A680" s="158"/>
      <c r="B680" s="231"/>
      <c r="C680" s="242"/>
      <c r="D680" s="242"/>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c r="AW680" s="158"/>
      <c r="AX680" s="158"/>
      <c r="AY680" s="158"/>
      <c r="AZ680" s="158"/>
      <c r="BA680" s="158"/>
      <c r="BB680" s="158"/>
      <c r="BC680" s="158"/>
      <c r="BD680" s="158"/>
      <c r="BE680" s="158"/>
      <c r="BF680" s="158"/>
      <c r="BG680" s="158"/>
      <c r="BH680" s="158"/>
      <c r="BI680" s="158"/>
      <c r="BJ680" s="158"/>
      <c r="BK680" s="158"/>
      <c r="BL680" s="158"/>
      <c r="BM680" s="158"/>
      <c r="BN680" s="158"/>
      <c r="BO680" s="158"/>
      <c r="BP680" s="158"/>
      <c r="BQ680" s="158"/>
      <c r="BR680" s="158"/>
    </row>
    <row r="681">
      <c r="A681" s="158"/>
      <c r="B681" s="231"/>
      <c r="C681" s="242"/>
      <c r="D681" s="242"/>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c r="AW681" s="158"/>
      <c r="AX681" s="158"/>
      <c r="AY681" s="158"/>
      <c r="AZ681" s="158"/>
      <c r="BA681" s="158"/>
      <c r="BB681" s="158"/>
      <c r="BC681" s="158"/>
      <c r="BD681" s="158"/>
      <c r="BE681" s="158"/>
      <c r="BF681" s="158"/>
      <c r="BG681" s="158"/>
      <c r="BH681" s="158"/>
      <c r="BI681" s="158"/>
      <c r="BJ681" s="158"/>
      <c r="BK681" s="158"/>
      <c r="BL681" s="158"/>
      <c r="BM681" s="158"/>
      <c r="BN681" s="158"/>
      <c r="BO681" s="158"/>
      <c r="BP681" s="158"/>
      <c r="BQ681" s="158"/>
      <c r="BR681" s="158"/>
    </row>
    <row r="682">
      <c r="A682" s="158"/>
      <c r="B682" s="231"/>
      <c r="C682" s="242"/>
      <c r="D682" s="242"/>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c r="BF682" s="158"/>
      <c r="BG682" s="158"/>
      <c r="BH682" s="158"/>
      <c r="BI682" s="158"/>
      <c r="BJ682" s="158"/>
      <c r="BK682" s="158"/>
      <c r="BL682" s="158"/>
      <c r="BM682" s="158"/>
      <c r="BN682" s="158"/>
      <c r="BO682" s="158"/>
      <c r="BP682" s="158"/>
      <c r="BQ682" s="158"/>
      <c r="BR682" s="158"/>
    </row>
    <row r="683">
      <c r="A683" s="158"/>
      <c r="B683" s="231"/>
      <c r="C683" s="242"/>
      <c r="D683" s="242"/>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c r="AW683" s="158"/>
      <c r="AX683" s="158"/>
      <c r="AY683" s="158"/>
      <c r="AZ683" s="158"/>
      <c r="BA683" s="158"/>
      <c r="BB683" s="158"/>
      <c r="BC683" s="158"/>
      <c r="BD683" s="158"/>
      <c r="BE683" s="158"/>
      <c r="BF683" s="158"/>
      <c r="BG683" s="158"/>
      <c r="BH683" s="158"/>
      <c r="BI683" s="158"/>
      <c r="BJ683" s="158"/>
      <c r="BK683" s="158"/>
      <c r="BL683" s="158"/>
      <c r="BM683" s="158"/>
      <c r="BN683" s="158"/>
      <c r="BO683" s="158"/>
      <c r="BP683" s="158"/>
      <c r="BQ683" s="158"/>
      <c r="BR683" s="158"/>
    </row>
    <row r="684">
      <c r="A684" s="158"/>
      <c r="B684" s="231"/>
      <c r="C684" s="242"/>
      <c r="D684" s="242"/>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c r="AW684" s="158"/>
      <c r="AX684" s="158"/>
      <c r="AY684" s="158"/>
      <c r="AZ684" s="158"/>
      <c r="BA684" s="158"/>
      <c r="BB684" s="158"/>
      <c r="BC684" s="158"/>
      <c r="BD684" s="158"/>
      <c r="BE684" s="158"/>
      <c r="BF684" s="158"/>
      <c r="BG684" s="158"/>
      <c r="BH684" s="158"/>
      <c r="BI684" s="158"/>
      <c r="BJ684" s="158"/>
      <c r="BK684" s="158"/>
      <c r="BL684" s="158"/>
      <c r="BM684" s="158"/>
      <c r="BN684" s="158"/>
      <c r="BO684" s="158"/>
      <c r="BP684" s="158"/>
      <c r="BQ684" s="158"/>
      <c r="BR684" s="158"/>
    </row>
    <row r="685">
      <c r="A685" s="158"/>
      <c r="B685" s="231"/>
      <c r="C685" s="242"/>
      <c r="D685" s="242"/>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row>
    <row r="686">
      <c r="A686" s="158"/>
      <c r="B686" s="231"/>
      <c r="C686" s="242"/>
      <c r="D686" s="242"/>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c r="BF686" s="158"/>
      <c r="BG686" s="158"/>
      <c r="BH686" s="158"/>
      <c r="BI686" s="158"/>
      <c r="BJ686" s="158"/>
      <c r="BK686" s="158"/>
      <c r="BL686" s="158"/>
      <c r="BM686" s="158"/>
      <c r="BN686" s="158"/>
      <c r="BO686" s="158"/>
      <c r="BP686" s="158"/>
      <c r="BQ686" s="158"/>
      <c r="BR686" s="158"/>
    </row>
    <row r="687">
      <c r="A687" s="158"/>
      <c r="B687" s="231"/>
      <c r="C687" s="242"/>
      <c r="D687" s="242"/>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c r="AW687" s="158"/>
      <c r="AX687" s="158"/>
      <c r="AY687" s="158"/>
      <c r="AZ687" s="158"/>
      <c r="BA687" s="158"/>
      <c r="BB687" s="158"/>
      <c r="BC687" s="158"/>
      <c r="BD687" s="158"/>
      <c r="BE687" s="158"/>
      <c r="BF687" s="158"/>
      <c r="BG687" s="158"/>
      <c r="BH687" s="158"/>
      <c r="BI687" s="158"/>
      <c r="BJ687" s="158"/>
      <c r="BK687" s="158"/>
      <c r="BL687" s="158"/>
      <c r="BM687" s="158"/>
      <c r="BN687" s="158"/>
      <c r="BO687" s="158"/>
      <c r="BP687" s="158"/>
      <c r="BQ687" s="158"/>
      <c r="BR687" s="158"/>
    </row>
    <row r="688">
      <c r="A688" s="158"/>
      <c r="B688" s="231"/>
      <c r="C688" s="242"/>
      <c r="D688" s="242"/>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c r="BF688" s="158"/>
      <c r="BG688" s="158"/>
      <c r="BH688" s="158"/>
      <c r="BI688" s="158"/>
      <c r="BJ688" s="158"/>
      <c r="BK688" s="158"/>
      <c r="BL688" s="158"/>
      <c r="BM688" s="158"/>
      <c r="BN688" s="158"/>
      <c r="BO688" s="158"/>
      <c r="BP688" s="158"/>
      <c r="BQ688" s="158"/>
      <c r="BR688" s="158"/>
    </row>
    <row r="689">
      <c r="A689" s="158"/>
      <c r="B689" s="231"/>
      <c r="C689" s="242"/>
      <c r="D689" s="242"/>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c r="BF689" s="158"/>
      <c r="BG689" s="158"/>
      <c r="BH689" s="158"/>
      <c r="BI689" s="158"/>
      <c r="BJ689" s="158"/>
      <c r="BK689" s="158"/>
      <c r="BL689" s="158"/>
      <c r="BM689" s="158"/>
      <c r="BN689" s="158"/>
      <c r="BO689" s="158"/>
      <c r="BP689" s="158"/>
      <c r="BQ689" s="158"/>
      <c r="BR689" s="158"/>
    </row>
    <row r="690">
      <c r="A690" s="158"/>
      <c r="B690" s="231"/>
      <c r="C690" s="242"/>
      <c r="D690" s="242"/>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c r="BF690" s="158"/>
      <c r="BG690" s="158"/>
      <c r="BH690" s="158"/>
      <c r="BI690" s="158"/>
      <c r="BJ690" s="158"/>
      <c r="BK690" s="158"/>
      <c r="BL690" s="158"/>
      <c r="BM690" s="158"/>
      <c r="BN690" s="158"/>
      <c r="BO690" s="158"/>
      <c r="BP690" s="158"/>
      <c r="BQ690" s="158"/>
      <c r="BR690" s="158"/>
    </row>
    <row r="691">
      <c r="A691" s="158"/>
      <c r="B691" s="231"/>
      <c r="C691" s="242"/>
      <c r="D691" s="242"/>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c r="AW691" s="158"/>
      <c r="AX691" s="158"/>
      <c r="AY691" s="158"/>
      <c r="AZ691" s="158"/>
      <c r="BA691" s="158"/>
      <c r="BB691" s="158"/>
      <c r="BC691" s="158"/>
      <c r="BD691" s="158"/>
      <c r="BE691" s="158"/>
      <c r="BF691" s="158"/>
      <c r="BG691" s="158"/>
      <c r="BH691" s="158"/>
      <c r="BI691" s="158"/>
      <c r="BJ691" s="158"/>
      <c r="BK691" s="158"/>
      <c r="BL691" s="158"/>
      <c r="BM691" s="158"/>
      <c r="BN691" s="158"/>
      <c r="BO691" s="158"/>
      <c r="BP691" s="158"/>
      <c r="BQ691" s="158"/>
      <c r="BR691" s="158"/>
    </row>
    <row r="692">
      <c r="A692" s="158"/>
      <c r="B692" s="231"/>
      <c r="C692" s="242"/>
      <c r="D692" s="242"/>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c r="AW692" s="158"/>
      <c r="AX692" s="158"/>
      <c r="AY692" s="158"/>
      <c r="AZ692" s="158"/>
      <c r="BA692" s="158"/>
      <c r="BB692" s="158"/>
      <c r="BC692" s="158"/>
      <c r="BD692" s="158"/>
      <c r="BE692" s="158"/>
      <c r="BF692" s="158"/>
      <c r="BG692" s="158"/>
      <c r="BH692" s="158"/>
      <c r="BI692" s="158"/>
      <c r="BJ692" s="158"/>
      <c r="BK692" s="158"/>
      <c r="BL692" s="158"/>
      <c r="BM692" s="158"/>
      <c r="BN692" s="158"/>
      <c r="BO692" s="158"/>
      <c r="BP692" s="158"/>
      <c r="BQ692" s="158"/>
      <c r="BR692" s="158"/>
    </row>
    <row r="693">
      <c r="A693" s="158"/>
      <c r="B693" s="231"/>
      <c r="C693" s="242"/>
      <c r="D693" s="242"/>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c r="AW693" s="158"/>
      <c r="AX693" s="158"/>
      <c r="AY693" s="158"/>
      <c r="AZ693" s="158"/>
      <c r="BA693" s="158"/>
      <c r="BB693" s="158"/>
      <c r="BC693" s="158"/>
      <c r="BD693" s="158"/>
      <c r="BE693" s="158"/>
      <c r="BF693" s="158"/>
      <c r="BG693" s="158"/>
      <c r="BH693" s="158"/>
      <c r="BI693" s="158"/>
      <c r="BJ693" s="158"/>
      <c r="BK693" s="158"/>
      <c r="BL693" s="158"/>
      <c r="BM693" s="158"/>
      <c r="BN693" s="158"/>
      <c r="BO693" s="158"/>
      <c r="BP693" s="158"/>
      <c r="BQ693" s="158"/>
      <c r="BR693" s="158"/>
    </row>
    <row r="694">
      <c r="A694" s="158"/>
      <c r="B694" s="231"/>
      <c r="C694" s="242"/>
      <c r="D694" s="242"/>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c r="AW694" s="158"/>
      <c r="AX694" s="158"/>
      <c r="AY694" s="158"/>
      <c r="AZ694" s="158"/>
      <c r="BA694" s="158"/>
      <c r="BB694" s="158"/>
      <c r="BC694" s="158"/>
      <c r="BD694" s="158"/>
      <c r="BE694" s="158"/>
      <c r="BF694" s="158"/>
      <c r="BG694" s="158"/>
      <c r="BH694" s="158"/>
      <c r="BI694" s="158"/>
      <c r="BJ694" s="158"/>
      <c r="BK694" s="158"/>
      <c r="BL694" s="158"/>
      <c r="BM694" s="158"/>
      <c r="BN694" s="158"/>
      <c r="BO694" s="158"/>
      <c r="BP694" s="158"/>
      <c r="BQ694" s="158"/>
      <c r="BR694" s="158"/>
    </row>
    <row r="695">
      <c r="A695" s="158"/>
      <c r="B695" s="231"/>
      <c r="C695" s="242"/>
      <c r="D695" s="242"/>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c r="AW695" s="158"/>
      <c r="AX695" s="158"/>
      <c r="AY695" s="158"/>
      <c r="AZ695" s="158"/>
      <c r="BA695" s="158"/>
      <c r="BB695" s="158"/>
      <c r="BC695" s="158"/>
      <c r="BD695" s="158"/>
      <c r="BE695" s="158"/>
      <c r="BF695" s="158"/>
      <c r="BG695" s="158"/>
      <c r="BH695" s="158"/>
      <c r="BI695" s="158"/>
      <c r="BJ695" s="158"/>
      <c r="BK695" s="158"/>
      <c r="BL695" s="158"/>
      <c r="BM695" s="158"/>
      <c r="BN695" s="158"/>
      <c r="BO695" s="158"/>
      <c r="BP695" s="158"/>
      <c r="BQ695" s="158"/>
      <c r="BR695" s="158"/>
    </row>
    <row r="696">
      <c r="A696" s="158"/>
      <c r="B696" s="231"/>
      <c r="C696" s="242"/>
      <c r="D696" s="242"/>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c r="AW696" s="158"/>
      <c r="AX696" s="158"/>
      <c r="AY696" s="158"/>
      <c r="AZ696" s="158"/>
      <c r="BA696" s="158"/>
      <c r="BB696" s="158"/>
      <c r="BC696" s="158"/>
      <c r="BD696" s="158"/>
      <c r="BE696" s="158"/>
      <c r="BF696" s="158"/>
      <c r="BG696" s="158"/>
      <c r="BH696" s="158"/>
      <c r="BI696" s="158"/>
      <c r="BJ696" s="158"/>
      <c r="BK696" s="158"/>
      <c r="BL696" s="158"/>
      <c r="BM696" s="158"/>
      <c r="BN696" s="158"/>
      <c r="BO696" s="158"/>
      <c r="BP696" s="158"/>
      <c r="BQ696" s="158"/>
      <c r="BR696" s="158"/>
    </row>
    <row r="697">
      <c r="A697" s="158"/>
      <c r="B697" s="231"/>
      <c r="C697" s="242"/>
      <c r="D697" s="242"/>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c r="BF697" s="158"/>
      <c r="BG697" s="158"/>
      <c r="BH697" s="158"/>
      <c r="BI697" s="158"/>
      <c r="BJ697" s="158"/>
      <c r="BK697" s="158"/>
      <c r="BL697" s="158"/>
      <c r="BM697" s="158"/>
      <c r="BN697" s="158"/>
      <c r="BO697" s="158"/>
      <c r="BP697" s="158"/>
      <c r="BQ697" s="158"/>
      <c r="BR697" s="158"/>
    </row>
    <row r="698">
      <c r="A698" s="158"/>
      <c r="B698" s="231"/>
      <c r="C698" s="242"/>
      <c r="D698" s="242"/>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c r="BF698" s="158"/>
      <c r="BG698" s="158"/>
      <c r="BH698" s="158"/>
      <c r="BI698" s="158"/>
      <c r="BJ698" s="158"/>
      <c r="BK698" s="158"/>
      <c r="BL698" s="158"/>
      <c r="BM698" s="158"/>
      <c r="BN698" s="158"/>
      <c r="BO698" s="158"/>
      <c r="BP698" s="158"/>
      <c r="BQ698" s="158"/>
      <c r="BR698" s="158"/>
    </row>
    <row r="699">
      <c r="A699" s="158"/>
      <c r="B699" s="231"/>
      <c r="C699" s="242"/>
      <c r="D699" s="242"/>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c r="AW699" s="158"/>
      <c r="AX699" s="158"/>
      <c r="AY699" s="158"/>
      <c r="AZ699" s="158"/>
      <c r="BA699" s="158"/>
      <c r="BB699" s="158"/>
      <c r="BC699" s="158"/>
      <c r="BD699" s="158"/>
      <c r="BE699" s="158"/>
      <c r="BF699" s="158"/>
      <c r="BG699" s="158"/>
      <c r="BH699" s="158"/>
      <c r="BI699" s="158"/>
      <c r="BJ699" s="158"/>
      <c r="BK699" s="158"/>
      <c r="BL699" s="158"/>
      <c r="BM699" s="158"/>
      <c r="BN699" s="158"/>
      <c r="BO699" s="158"/>
      <c r="BP699" s="158"/>
      <c r="BQ699" s="158"/>
      <c r="BR699" s="158"/>
    </row>
    <row r="700">
      <c r="A700" s="158"/>
      <c r="B700" s="231"/>
      <c r="C700" s="242"/>
      <c r="D700" s="242"/>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c r="BF700" s="158"/>
      <c r="BG700" s="158"/>
      <c r="BH700" s="158"/>
      <c r="BI700" s="158"/>
      <c r="BJ700" s="158"/>
      <c r="BK700" s="158"/>
      <c r="BL700" s="158"/>
      <c r="BM700" s="158"/>
      <c r="BN700" s="158"/>
      <c r="BO700" s="158"/>
      <c r="BP700" s="158"/>
      <c r="BQ700" s="158"/>
      <c r="BR700" s="158"/>
    </row>
    <row r="701">
      <c r="A701" s="158"/>
      <c r="B701" s="231"/>
      <c r="C701" s="242"/>
      <c r="D701" s="242"/>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c r="BF701" s="158"/>
      <c r="BG701" s="158"/>
      <c r="BH701" s="158"/>
      <c r="BI701" s="158"/>
      <c r="BJ701" s="158"/>
      <c r="BK701" s="158"/>
      <c r="BL701" s="158"/>
      <c r="BM701" s="158"/>
      <c r="BN701" s="158"/>
      <c r="BO701" s="158"/>
      <c r="BP701" s="158"/>
      <c r="BQ701" s="158"/>
      <c r="BR701" s="158"/>
    </row>
    <row r="702">
      <c r="A702" s="158"/>
      <c r="B702" s="231"/>
      <c r="C702" s="242"/>
      <c r="D702" s="242"/>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c r="BF702" s="158"/>
      <c r="BG702" s="158"/>
      <c r="BH702" s="158"/>
      <c r="BI702" s="158"/>
      <c r="BJ702" s="158"/>
      <c r="BK702" s="158"/>
      <c r="BL702" s="158"/>
      <c r="BM702" s="158"/>
      <c r="BN702" s="158"/>
      <c r="BO702" s="158"/>
      <c r="BP702" s="158"/>
      <c r="BQ702" s="158"/>
      <c r="BR702" s="158"/>
    </row>
    <row r="703">
      <c r="A703" s="158"/>
      <c r="B703" s="231"/>
      <c r="C703" s="242"/>
      <c r="D703" s="242"/>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c r="AW703" s="158"/>
      <c r="AX703" s="158"/>
      <c r="AY703" s="158"/>
      <c r="AZ703" s="158"/>
      <c r="BA703" s="158"/>
      <c r="BB703" s="158"/>
      <c r="BC703" s="158"/>
      <c r="BD703" s="158"/>
      <c r="BE703" s="158"/>
      <c r="BF703" s="158"/>
      <c r="BG703" s="158"/>
      <c r="BH703" s="158"/>
      <c r="BI703" s="158"/>
      <c r="BJ703" s="158"/>
      <c r="BK703" s="158"/>
      <c r="BL703" s="158"/>
      <c r="BM703" s="158"/>
      <c r="BN703" s="158"/>
      <c r="BO703" s="158"/>
      <c r="BP703" s="158"/>
      <c r="BQ703" s="158"/>
      <c r="BR703" s="158"/>
    </row>
    <row r="704">
      <c r="A704" s="158"/>
      <c r="B704" s="231"/>
      <c r="C704" s="242"/>
      <c r="D704" s="242"/>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c r="BF704" s="158"/>
      <c r="BG704" s="158"/>
      <c r="BH704" s="158"/>
      <c r="BI704" s="158"/>
      <c r="BJ704" s="158"/>
      <c r="BK704" s="158"/>
      <c r="BL704" s="158"/>
      <c r="BM704" s="158"/>
      <c r="BN704" s="158"/>
      <c r="BO704" s="158"/>
      <c r="BP704" s="158"/>
      <c r="BQ704" s="158"/>
      <c r="BR704" s="158"/>
    </row>
    <row r="705">
      <c r="A705" s="158"/>
      <c r="B705" s="231"/>
      <c r="C705" s="242"/>
      <c r="D705" s="242"/>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c r="BF705" s="158"/>
      <c r="BG705" s="158"/>
      <c r="BH705" s="158"/>
      <c r="BI705" s="158"/>
      <c r="BJ705" s="158"/>
      <c r="BK705" s="158"/>
      <c r="BL705" s="158"/>
      <c r="BM705" s="158"/>
      <c r="BN705" s="158"/>
      <c r="BO705" s="158"/>
      <c r="BP705" s="158"/>
      <c r="BQ705" s="158"/>
      <c r="BR705" s="158"/>
    </row>
    <row r="706">
      <c r="A706" s="158"/>
      <c r="B706" s="231"/>
      <c r="C706" s="242"/>
      <c r="D706" s="242"/>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c r="AW706" s="158"/>
      <c r="AX706" s="158"/>
      <c r="AY706" s="158"/>
      <c r="AZ706" s="158"/>
      <c r="BA706" s="158"/>
      <c r="BB706" s="158"/>
      <c r="BC706" s="158"/>
      <c r="BD706" s="158"/>
      <c r="BE706" s="158"/>
      <c r="BF706" s="158"/>
      <c r="BG706" s="158"/>
      <c r="BH706" s="158"/>
      <c r="BI706" s="158"/>
      <c r="BJ706" s="158"/>
      <c r="BK706" s="158"/>
      <c r="BL706" s="158"/>
      <c r="BM706" s="158"/>
      <c r="BN706" s="158"/>
      <c r="BO706" s="158"/>
      <c r="BP706" s="158"/>
      <c r="BQ706" s="158"/>
      <c r="BR706" s="158"/>
    </row>
    <row r="707">
      <c r="A707" s="158"/>
      <c r="B707" s="231"/>
      <c r="C707" s="242"/>
      <c r="D707" s="242"/>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c r="AW707" s="158"/>
      <c r="AX707" s="158"/>
      <c r="AY707" s="158"/>
      <c r="AZ707" s="158"/>
      <c r="BA707" s="158"/>
      <c r="BB707" s="158"/>
      <c r="BC707" s="158"/>
      <c r="BD707" s="158"/>
      <c r="BE707" s="158"/>
      <c r="BF707" s="158"/>
      <c r="BG707" s="158"/>
      <c r="BH707" s="158"/>
      <c r="BI707" s="158"/>
      <c r="BJ707" s="158"/>
      <c r="BK707" s="158"/>
      <c r="BL707" s="158"/>
      <c r="BM707" s="158"/>
      <c r="BN707" s="158"/>
      <c r="BO707" s="158"/>
      <c r="BP707" s="158"/>
      <c r="BQ707" s="158"/>
      <c r="BR707" s="158"/>
    </row>
    <row r="708">
      <c r="A708" s="158"/>
      <c r="B708" s="231"/>
      <c r="C708" s="242"/>
      <c r="D708" s="242"/>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c r="AR708" s="158"/>
      <c r="AS708" s="158"/>
      <c r="AT708" s="158"/>
      <c r="AU708" s="158"/>
      <c r="AV708" s="158"/>
      <c r="AW708" s="158"/>
      <c r="AX708" s="158"/>
      <c r="AY708" s="158"/>
      <c r="AZ708" s="158"/>
      <c r="BA708" s="158"/>
      <c r="BB708" s="158"/>
      <c r="BC708" s="158"/>
      <c r="BD708" s="158"/>
      <c r="BE708" s="158"/>
      <c r="BF708" s="158"/>
      <c r="BG708" s="158"/>
      <c r="BH708" s="158"/>
      <c r="BI708" s="158"/>
      <c r="BJ708" s="158"/>
      <c r="BK708" s="158"/>
      <c r="BL708" s="158"/>
      <c r="BM708" s="158"/>
      <c r="BN708" s="158"/>
      <c r="BO708" s="158"/>
      <c r="BP708" s="158"/>
      <c r="BQ708" s="158"/>
      <c r="BR708" s="158"/>
    </row>
    <row r="709">
      <c r="A709" s="158"/>
      <c r="B709" s="231"/>
      <c r="C709" s="242"/>
      <c r="D709" s="242"/>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c r="AW709" s="158"/>
      <c r="AX709" s="158"/>
      <c r="AY709" s="158"/>
      <c r="AZ709" s="158"/>
      <c r="BA709" s="158"/>
      <c r="BB709" s="158"/>
      <c r="BC709" s="158"/>
      <c r="BD709" s="158"/>
      <c r="BE709" s="158"/>
      <c r="BF709" s="158"/>
      <c r="BG709" s="158"/>
      <c r="BH709" s="158"/>
      <c r="BI709" s="158"/>
      <c r="BJ709" s="158"/>
      <c r="BK709" s="158"/>
      <c r="BL709" s="158"/>
      <c r="BM709" s="158"/>
      <c r="BN709" s="158"/>
      <c r="BO709" s="158"/>
      <c r="BP709" s="158"/>
      <c r="BQ709" s="158"/>
      <c r="BR709" s="158"/>
    </row>
    <row r="710">
      <c r="A710" s="158"/>
      <c r="B710" s="231"/>
      <c r="C710" s="242"/>
      <c r="D710" s="242"/>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c r="AR710" s="158"/>
      <c r="AS710" s="158"/>
      <c r="AT710" s="158"/>
      <c r="AU710" s="158"/>
      <c r="AV710" s="158"/>
      <c r="AW710" s="158"/>
      <c r="AX710" s="158"/>
      <c r="AY710" s="158"/>
      <c r="AZ710" s="158"/>
      <c r="BA710" s="158"/>
      <c r="BB710" s="158"/>
      <c r="BC710" s="158"/>
      <c r="BD710" s="158"/>
      <c r="BE710" s="158"/>
      <c r="BF710" s="158"/>
      <c r="BG710" s="158"/>
      <c r="BH710" s="158"/>
      <c r="BI710" s="158"/>
      <c r="BJ710" s="158"/>
      <c r="BK710" s="158"/>
      <c r="BL710" s="158"/>
      <c r="BM710" s="158"/>
      <c r="BN710" s="158"/>
      <c r="BO710" s="158"/>
      <c r="BP710" s="158"/>
      <c r="BQ710" s="158"/>
      <c r="BR710" s="158"/>
    </row>
    <row r="711">
      <c r="A711" s="158"/>
      <c r="B711" s="231"/>
      <c r="C711" s="242"/>
      <c r="D711" s="242"/>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c r="AR711" s="158"/>
      <c r="AS711" s="158"/>
      <c r="AT711" s="158"/>
      <c r="AU711" s="158"/>
      <c r="AV711" s="158"/>
      <c r="AW711" s="158"/>
      <c r="AX711" s="158"/>
      <c r="AY711" s="158"/>
      <c r="AZ711" s="158"/>
      <c r="BA711" s="158"/>
      <c r="BB711" s="158"/>
      <c r="BC711" s="158"/>
      <c r="BD711" s="158"/>
      <c r="BE711" s="158"/>
      <c r="BF711" s="158"/>
      <c r="BG711" s="158"/>
      <c r="BH711" s="158"/>
      <c r="BI711" s="158"/>
      <c r="BJ711" s="158"/>
      <c r="BK711" s="158"/>
      <c r="BL711" s="158"/>
      <c r="BM711" s="158"/>
      <c r="BN711" s="158"/>
      <c r="BO711" s="158"/>
      <c r="BP711" s="158"/>
      <c r="BQ711" s="158"/>
      <c r="BR711" s="158"/>
    </row>
    <row r="712">
      <c r="A712" s="158"/>
      <c r="B712" s="231"/>
      <c r="C712" s="242"/>
      <c r="D712" s="242"/>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c r="AW712" s="158"/>
      <c r="AX712" s="158"/>
      <c r="AY712" s="158"/>
      <c r="AZ712" s="158"/>
      <c r="BA712" s="158"/>
      <c r="BB712" s="158"/>
      <c r="BC712" s="158"/>
      <c r="BD712" s="158"/>
      <c r="BE712" s="158"/>
      <c r="BF712" s="158"/>
      <c r="BG712" s="158"/>
      <c r="BH712" s="158"/>
      <c r="BI712" s="158"/>
      <c r="BJ712" s="158"/>
      <c r="BK712" s="158"/>
      <c r="BL712" s="158"/>
      <c r="BM712" s="158"/>
      <c r="BN712" s="158"/>
      <c r="BO712" s="158"/>
      <c r="BP712" s="158"/>
      <c r="BQ712" s="158"/>
      <c r="BR712" s="158"/>
    </row>
    <row r="713">
      <c r="A713" s="158"/>
      <c r="B713" s="231"/>
      <c r="C713" s="242"/>
      <c r="D713" s="242"/>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c r="AW713" s="158"/>
      <c r="AX713" s="158"/>
      <c r="AY713" s="158"/>
      <c r="AZ713" s="158"/>
      <c r="BA713" s="158"/>
      <c r="BB713" s="158"/>
      <c r="BC713" s="158"/>
      <c r="BD713" s="158"/>
      <c r="BE713" s="158"/>
      <c r="BF713" s="158"/>
      <c r="BG713" s="158"/>
      <c r="BH713" s="158"/>
      <c r="BI713" s="158"/>
      <c r="BJ713" s="158"/>
      <c r="BK713" s="158"/>
      <c r="BL713" s="158"/>
      <c r="BM713" s="158"/>
      <c r="BN713" s="158"/>
      <c r="BO713" s="158"/>
      <c r="BP713" s="158"/>
      <c r="BQ713" s="158"/>
      <c r="BR713" s="158"/>
    </row>
    <row r="714">
      <c r="A714" s="158"/>
      <c r="B714" s="231"/>
      <c r="C714" s="242"/>
      <c r="D714" s="242"/>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c r="AW714" s="158"/>
      <c r="AX714" s="158"/>
      <c r="AY714" s="158"/>
      <c r="AZ714" s="158"/>
      <c r="BA714" s="158"/>
      <c r="BB714" s="158"/>
      <c r="BC714" s="158"/>
      <c r="BD714" s="158"/>
      <c r="BE714" s="158"/>
      <c r="BF714" s="158"/>
      <c r="BG714" s="158"/>
      <c r="BH714" s="158"/>
      <c r="BI714" s="158"/>
      <c r="BJ714" s="158"/>
      <c r="BK714" s="158"/>
      <c r="BL714" s="158"/>
      <c r="BM714" s="158"/>
      <c r="BN714" s="158"/>
      <c r="BO714" s="158"/>
      <c r="BP714" s="158"/>
      <c r="BQ714" s="158"/>
      <c r="BR714" s="158"/>
    </row>
    <row r="715">
      <c r="A715" s="158"/>
      <c r="B715" s="231"/>
      <c r="C715" s="242"/>
      <c r="D715" s="242"/>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c r="AR715" s="158"/>
      <c r="AS715" s="158"/>
      <c r="AT715" s="158"/>
      <c r="AU715" s="158"/>
      <c r="AV715" s="158"/>
      <c r="AW715" s="158"/>
      <c r="AX715" s="158"/>
      <c r="AY715" s="158"/>
      <c r="AZ715" s="158"/>
      <c r="BA715" s="158"/>
      <c r="BB715" s="158"/>
      <c r="BC715" s="158"/>
      <c r="BD715" s="158"/>
      <c r="BE715" s="158"/>
      <c r="BF715" s="158"/>
      <c r="BG715" s="158"/>
      <c r="BH715" s="158"/>
      <c r="BI715" s="158"/>
      <c r="BJ715" s="158"/>
      <c r="BK715" s="158"/>
      <c r="BL715" s="158"/>
      <c r="BM715" s="158"/>
      <c r="BN715" s="158"/>
      <c r="BO715" s="158"/>
      <c r="BP715" s="158"/>
      <c r="BQ715" s="158"/>
      <c r="BR715" s="158"/>
    </row>
    <row r="716">
      <c r="A716" s="158"/>
      <c r="B716" s="231"/>
      <c r="C716" s="242"/>
      <c r="D716" s="242"/>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c r="AW716" s="158"/>
      <c r="AX716" s="158"/>
      <c r="AY716" s="158"/>
      <c r="AZ716" s="158"/>
      <c r="BA716" s="158"/>
      <c r="BB716" s="158"/>
      <c r="BC716" s="158"/>
      <c r="BD716" s="158"/>
      <c r="BE716" s="158"/>
      <c r="BF716" s="158"/>
      <c r="BG716" s="158"/>
      <c r="BH716" s="158"/>
      <c r="BI716" s="158"/>
      <c r="BJ716" s="158"/>
      <c r="BK716" s="158"/>
      <c r="BL716" s="158"/>
      <c r="BM716" s="158"/>
      <c r="BN716" s="158"/>
      <c r="BO716" s="158"/>
      <c r="BP716" s="158"/>
      <c r="BQ716" s="158"/>
      <c r="BR716" s="158"/>
    </row>
    <row r="717">
      <c r="A717" s="158"/>
      <c r="B717" s="231"/>
      <c r="C717" s="242"/>
      <c r="D717" s="242"/>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c r="AW717" s="158"/>
      <c r="AX717" s="158"/>
      <c r="AY717" s="158"/>
      <c r="AZ717" s="158"/>
      <c r="BA717" s="158"/>
      <c r="BB717" s="158"/>
      <c r="BC717" s="158"/>
      <c r="BD717" s="158"/>
      <c r="BE717" s="158"/>
      <c r="BF717" s="158"/>
      <c r="BG717" s="158"/>
      <c r="BH717" s="158"/>
      <c r="BI717" s="158"/>
      <c r="BJ717" s="158"/>
      <c r="BK717" s="158"/>
      <c r="BL717" s="158"/>
      <c r="BM717" s="158"/>
      <c r="BN717" s="158"/>
      <c r="BO717" s="158"/>
      <c r="BP717" s="158"/>
      <c r="BQ717" s="158"/>
      <c r="BR717" s="158"/>
    </row>
    <row r="718">
      <c r="A718" s="158"/>
      <c r="B718" s="231"/>
      <c r="C718" s="242"/>
      <c r="D718" s="242"/>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c r="AR718" s="158"/>
      <c r="AS718" s="158"/>
      <c r="AT718" s="158"/>
      <c r="AU718" s="158"/>
      <c r="AV718" s="158"/>
      <c r="AW718" s="158"/>
      <c r="AX718" s="158"/>
      <c r="AY718" s="158"/>
      <c r="AZ718" s="158"/>
      <c r="BA718" s="158"/>
      <c r="BB718" s="158"/>
      <c r="BC718" s="158"/>
      <c r="BD718" s="158"/>
      <c r="BE718" s="158"/>
      <c r="BF718" s="158"/>
      <c r="BG718" s="158"/>
      <c r="BH718" s="158"/>
      <c r="BI718" s="158"/>
      <c r="BJ718" s="158"/>
      <c r="BK718" s="158"/>
      <c r="BL718" s="158"/>
      <c r="BM718" s="158"/>
      <c r="BN718" s="158"/>
      <c r="BO718" s="158"/>
      <c r="BP718" s="158"/>
      <c r="BQ718" s="158"/>
      <c r="BR718" s="158"/>
    </row>
    <row r="719">
      <c r="A719" s="158"/>
      <c r="B719" s="231"/>
      <c r="C719" s="242"/>
      <c r="D719" s="242"/>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c r="AR719" s="158"/>
      <c r="AS719" s="158"/>
      <c r="AT719" s="158"/>
      <c r="AU719" s="158"/>
      <c r="AV719" s="158"/>
      <c r="AW719" s="158"/>
      <c r="AX719" s="158"/>
      <c r="AY719" s="158"/>
      <c r="AZ719" s="158"/>
      <c r="BA719" s="158"/>
      <c r="BB719" s="158"/>
      <c r="BC719" s="158"/>
      <c r="BD719" s="158"/>
      <c r="BE719" s="158"/>
      <c r="BF719" s="158"/>
      <c r="BG719" s="158"/>
      <c r="BH719" s="158"/>
      <c r="BI719" s="158"/>
      <c r="BJ719" s="158"/>
      <c r="BK719" s="158"/>
      <c r="BL719" s="158"/>
      <c r="BM719" s="158"/>
      <c r="BN719" s="158"/>
      <c r="BO719" s="158"/>
      <c r="BP719" s="158"/>
      <c r="BQ719" s="158"/>
      <c r="BR719" s="158"/>
    </row>
    <row r="720">
      <c r="A720" s="158"/>
      <c r="B720" s="231"/>
      <c r="C720" s="242"/>
      <c r="D720" s="242"/>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c r="AR720" s="158"/>
      <c r="AS720" s="158"/>
      <c r="AT720" s="158"/>
      <c r="AU720" s="158"/>
      <c r="AV720" s="158"/>
      <c r="AW720" s="158"/>
      <c r="AX720" s="158"/>
      <c r="AY720" s="158"/>
      <c r="AZ720" s="158"/>
      <c r="BA720" s="158"/>
      <c r="BB720" s="158"/>
      <c r="BC720" s="158"/>
      <c r="BD720" s="158"/>
      <c r="BE720" s="158"/>
      <c r="BF720" s="158"/>
      <c r="BG720" s="158"/>
      <c r="BH720" s="158"/>
      <c r="BI720" s="158"/>
      <c r="BJ720" s="158"/>
      <c r="BK720" s="158"/>
      <c r="BL720" s="158"/>
      <c r="BM720" s="158"/>
      <c r="BN720" s="158"/>
      <c r="BO720" s="158"/>
      <c r="BP720" s="158"/>
      <c r="BQ720" s="158"/>
      <c r="BR720" s="158"/>
    </row>
    <row r="721">
      <c r="A721" s="158"/>
      <c r="B721" s="231"/>
      <c r="C721" s="242"/>
      <c r="D721" s="242"/>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c r="AR721" s="158"/>
      <c r="AS721" s="158"/>
      <c r="AT721" s="158"/>
      <c r="AU721" s="158"/>
      <c r="AV721" s="158"/>
      <c r="AW721" s="158"/>
      <c r="AX721" s="158"/>
      <c r="AY721" s="158"/>
      <c r="AZ721" s="158"/>
      <c r="BA721" s="158"/>
      <c r="BB721" s="158"/>
      <c r="BC721" s="158"/>
      <c r="BD721" s="158"/>
      <c r="BE721" s="158"/>
      <c r="BF721" s="158"/>
      <c r="BG721" s="158"/>
      <c r="BH721" s="158"/>
      <c r="BI721" s="158"/>
      <c r="BJ721" s="158"/>
      <c r="BK721" s="158"/>
      <c r="BL721" s="158"/>
      <c r="BM721" s="158"/>
      <c r="BN721" s="158"/>
      <c r="BO721" s="158"/>
      <c r="BP721" s="158"/>
      <c r="BQ721" s="158"/>
      <c r="BR721" s="158"/>
    </row>
    <row r="722">
      <c r="A722" s="158"/>
      <c r="B722" s="231"/>
      <c r="C722" s="242"/>
      <c r="D722" s="242"/>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c r="AR722" s="158"/>
      <c r="AS722" s="158"/>
      <c r="AT722" s="158"/>
      <c r="AU722" s="158"/>
      <c r="AV722" s="158"/>
      <c r="AW722" s="158"/>
      <c r="AX722" s="158"/>
      <c r="AY722" s="158"/>
      <c r="AZ722" s="158"/>
      <c r="BA722" s="158"/>
      <c r="BB722" s="158"/>
      <c r="BC722" s="158"/>
      <c r="BD722" s="158"/>
      <c r="BE722" s="158"/>
      <c r="BF722" s="158"/>
      <c r="BG722" s="158"/>
      <c r="BH722" s="158"/>
      <c r="BI722" s="158"/>
      <c r="BJ722" s="158"/>
      <c r="BK722" s="158"/>
      <c r="BL722" s="158"/>
      <c r="BM722" s="158"/>
      <c r="BN722" s="158"/>
      <c r="BO722" s="158"/>
      <c r="BP722" s="158"/>
      <c r="BQ722" s="158"/>
      <c r="BR722" s="158"/>
    </row>
    <row r="723">
      <c r="A723" s="158"/>
      <c r="B723" s="231"/>
      <c r="C723" s="242"/>
      <c r="D723" s="242"/>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c r="AR723" s="158"/>
      <c r="AS723" s="158"/>
      <c r="AT723" s="158"/>
      <c r="AU723" s="158"/>
      <c r="AV723" s="158"/>
      <c r="AW723" s="158"/>
      <c r="AX723" s="158"/>
      <c r="AY723" s="158"/>
      <c r="AZ723" s="158"/>
      <c r="BA723" s="158"/>
      <c r="BB723" s="158"/>
      <c r="BC723" s="158"/>
      <c r="BD723" s="158"/>
      <c r="BE723" s="158"/>
      <c r="BF723" s="158"/>
      <c r="BG723" s="158"/>
      <c r="BH723" s="158"/>
      <c r="BI723" s="158"/>
      <c r="BJ723" s="158"/>
      <c r="BK723" s="158"/>
      <c r="BL723" s="158"/>
      <c r="BM723" s="158"/>
      <c r="BN723" s="158"/>
      <c r="BO723" s="158"/>
      <c r="BP723" s="158"/>
      <c r="BQ723" s="158"/>
      <c r="BR723" s="158"/>
    </row>
    <row r="724">
      <c r="A724" s="158"/>
      <c r="B724" s="231"/>
      <c r="C724" s="242"/>
      <c r="D724" s="242"/>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c r="AW724" s="158"/>
      <c r="AX724" s="158"/>
      <c r="AY724" s="158"/>
      <c r="AZ724" s="158"/>
      <c r="BA724" s="158"/>
      <c r="BB724" s="158"/>
      <c r="BC724" s="158"/>
      <c r="BD724" s="158"/>
      <c r="BE724" s="158"/>
      <c r="BF724" s="158"/>
      <c r="BG724" s="158"/>
      <c r="BH724" s="158"/>
      <c r="BI724" s="158"/>
      <c r="BJ724" s="158"/>
      <c r="BK724" s="158"/>
      <c r="BL724" s="158"/>
      <c r="BM724" s="158"/>
      <c r="BN724" s="158"/>
      <c r="BO724" s="158"/>
      <c r="BP724" s="158"/>
      <c r="BQ724" s="158"/>
      <c r="BR724" s="158"/>
    </row>
    <row r="725">
      <c r="A725" s="158"/>
      <c r="B725" s="231"/>
      <c r="C725" s="242"/>
      <c r="D725" s="242"/>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c r="AW725" s="158"/>
      <c r="AX725" s="158"/>
      <c r="AY725" s="158"/>
      <c r="AZ725" s="158"/>
      <c r="BA725" s="158"/>
      <c r="BB725" s="158"/>
      <c r="BC725" s="158"/>
      <c r="BD725" s="158"/>
      <c r="BE725" s="158"/>
      <c r="BF725" s="158"/>
      <c r="BG725" s="158"/>
      <c r="BH725" s="158"/>
      <c r="BI725" s="158"/>
      <c r="BJ725" s="158"/>
      <c r="BK725" s="158"/>
      <c r="BL725" s="158"/>
      <c r="BM725" s="158"/>
      <c r="BN725" s="158"/>
      <c r="BO725" s="158"/>
      <c r="BP725" s="158"/>
      <c r="BQ725" s="158"/>
      <c r="BR725" s="158"/>
    </row>
    <row r="726">
      <c r="A726" s="158"/>
      <c r="B726" s="231"/>
      <c r="C726" s="242"/>
      <c r="D726" s="242"/>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c r="AW726" s="158"/>
      <c r="AX726" s="158"/>
      <c r="AY726" s="158"/>
      <c r="AZ726" s="158"/>
      <c r="BA726" s="158"/>
      <c r="BB726" s="158"/>
      <c r="BC726" s="158"/>
      <c r="BD726" s="158"/>
      <c r="BE726" s="158"/>
      <c r="BF726" s="158"/>
      <c r="BG726" s="158"/>
      <c r="BH726" s="158"/>
      <c r="BI726" s="158"/>
      <c r="BJ726" s="158"/>
      <c r="BK726" s="158"/>
      <c r="BL726" s="158"/>
      <c r="BM726" s="158"/>
      <c r="BN726" s="158"/>
      <c r="BO726" s="158"/>
      <c r="BP726" s="158"/>
      <c r="BQ726" s="158"/>
      <c r="BR726" s="158"/>
    </row>
    <row r="727">
      <c r="A727" s="158"/>
      <c r="B727" s="231"/>
      <c r="C727" s="242"/>
      <c r="D727" s="242"/>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c r="AW727" s="158"/>
      <c r="AX727" s="158"/>
      <c r="AY727" s="158"/>
      <c r="AZ727" s="158"/>
      <c r="BA727" s="158"/>
      <c r="BB727" s="158"/>
      <c r="BC727" s="158"/>
      <c r="BD727" s="158"/>
      <c r="BE727" s="158"/>
      <c r="BF727" s="158"/>
      <c r="BG727" s="158"/>
      <c r="BH727" s="158"/>
      <c r="BI727" s="158"/>
      <c r="BJ727" s="158"/>
      <c r="BK727" s="158"/>
      <c r="BL727" s="158"/>
      <c r="BM727" s="158"/>
      <c r="BN727" s="158"/>
      <c r="BO727" s="158"/>
      <c r="BP727" s="158"/>
      <c r="BQ727" s="158"/>
      <c r="BR727" s="158"/>
    </row>
    <row r="728">
      <c r="A728" s="158"/>
      <c r="B728" s="231"/>
      <c r="C728" s="242"/>
      <c r="D728" s="242"/>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c r="AW728" s="158"/>
      <c r="AX728" s="158"/>
      <c r="AY728" s="158"/>
      <c r="AZ728" s="158"/>
      <c r="BA728" s="158"/>
      <c r="BB728" s="158"/>
      <c r="BC728" s="158"/>
      <c r="BD728" s="158"/>
      <c r="BE728" s="158"/>
      <c r="BF728" s="158"/>
      <c r="BG728" s="158"/>
      <c r="BH728" s="158"/>
      <c r="BI728" s="158"/>
      <c r="BJ728" s="158"/>
      <c r="BK728" s="158"/>
      <c r="BL728" s="158"/>
      <c r="BM728" s="158"/>
      <c r="BN728" s="158"/>
      <c r="BO728" s="158"/>
      <c r="BP728" s="158"/>
      <c r="BQ728" s="158"/>
      <c r="BR728" s="158"/>
    </row>
    <row r="729">
      <c r="A729" s="158"/>
      <c r="B729" s="231"/>
      <c r="C729" s="242"/>
      <c r="D729" s="242"/>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c r="AW729" s="158"/>
      <c r="AX729" s="158"/>
      <c r="AY729" s="158"/>
      <c r="AZ729" s="158"/>
      <c r="BA729" s="158"/>
      <c r="BB729" s="158"/>
      <c r="BC729" s="158"/>
      <c r="BD729" s="158"/>
      <c r="BE729" s="158"/>
      <c r="BF729" s="158"/>
      <c r="BG729" s="158"/>
      <c r="BH729" s="158"/>
      <c r="BI729" s="158"/>
      <c r="BJ729" s="158"/>
      <c r="BK729" s="158"/>
      <c r="BL729" s="158"/>
      <c r="BM729" s="158"/>
      <c r="BN729" s="158"/>
      <c r="BO729" s="158"/>
      <c r="BP729" s="158"/>
      <c r="BQ729" s="158"/>
      <c r="BR729" s="158"/>
    </row>
    <row r="730">
      <c r="A730" s="158"/>
      <c r="B730" s="231"/>
      <c r="C730" s="242"/>
      <c r="D730" s="242"/>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c r="AW730" s="158"/>
      <c r="AX730" s="158"/>
      <c r="AY730" s="158"/>
      <c r="AZ730" s="158"/>
      <c r="BA730" s="158"/>
      <c r="BB730" s="158"/>
      <c r="BC730" s="158"/>
      <c r="BD730" s="158"/>
      <c r="BE730" s="158"/>
      <c r="BF730" s="158"/>
      <c r="BG730" s="158"/>
      <c r="BH730" s="158"/>
      <c r="BI730" s="158"/>
      <c r="BJ730" s="158"/>
      <c r="BK730" s="158"/>
      <c r="BL730" s="158"/>
      <c r="BM730" s="158"/>
      <c r="BN730" s="158"/>
      <c r="BO730" s="158"/>
      <c r="BP730" s="158"/>
      <c r="BQ730" s="158"/>
      <c r="BR730" s="158"/>
    </row>
    <row r="731">
      <c r="A731" s="158"/>
      <c r="B731" s="231"/>
      <c r="C731" s="242"/>
      <c r="D731" s="242"/>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c r="AW731" s="158"/>
      <c r="AX731" s="158"/>
      <c r="AY731" s="158"/>
      <c r="AZ731" s="158"/>
      <c r="BA731" s="158"/>
      <c r="BB731" s="158"/>
      <c r="BC731" s="158"/>
      <c r="BD731" s="158"/>
      <c r="BE731" s="158"/>
      <c r="BF731" s="158"/>
      <c r="BG731" s="158"/>
      <c r="BH731" s="158"/>
      <c r="BI731" s="158"/>
      <c r="BJ731" s="158"/>
      <c r="BK731" s="158"/>
      <c r="BL731" s="158"/>
      <c r="BM731" s="158"/>
      <c r="BN731" s="158"/>
      <c r="BO731" s="158"/>
      <c r="BP731" s="158"/>
      <c r="BQ731" s="158"/>
      <c r="BR731" s="158"/>
    </row>
    <row r="732">
      <c r="A732" s="158"/>
      <c r="B732" s="231"/>
      <c r="C732" s="242"/>
      <c r="D732" s="242"/>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c r="AW732" s="158"/>
      <c r="AX732" s="158"/>
      <c r="AY732" s="158"/>
      <c r="AZ732" s="158"/>
      <c r="BA732" s="158"/>
      <c r="BB732" s="158"/>
      <c r="BC732" s="158"/>
      <c r="BD732" s="158"/>
      <c r="BE732" s="158"/>
      <c r="BF732" s="158"/>
      <c r="BG732" s="158"/>
      <c r="BH732" s="158"/>
      <c r="BI732" s="158"/>
      <c r="BJ732" s="158"/>
      <c r="BK732" s="158"/>
      <c r="BL732" s="158"/>
      <c r="BM732" s="158"/>
      <c r="BN732" s="158"/>
      <c r="BO732" s="158"/>
      <c r="BP732" s="158"/>
      <c r="BQ732" s="158"/>
      <c r="BR732" s="158"/>
    </row>
    <row r="733">
      <c r="A733" s="158"/>
      <c r="B733" s="231"/>
      <c r="C733" s="242"/>
      <c r="D733" s="242"/>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c r="AW733" s="158"/>
      <c r="AX733" s="158"/>
      <c r="AY733" s="158"/>
      <c r="AZ733" s="158"/>
      <c r="BA733" s="158"/>
      <c r="BB733" s="158"/>
      <c r="BC733" s="158"/>
      <c r="BD733" s="158"/>
      <c r="BE733" s="158"/>
      <c r="BF733" s="158"/>
      <c r="BG733" s="158"/>
      <c r="BH733" s="158"/>
      <c r="BI733" s="158"/>
      <c r="BJ733" s="158"/>
      <c r="BK733" s="158"/>
      <c r="BL733" s="158"/>
      <c r="BM733" s="158"/>
      <c r="BN733" s="158"/>
      <c r="BO733" s="158"/>
      <c r="BP733" s="158"/>
      <c r="BQ733" s="158"/>
      <c r="BR733" s="158"/>
    </row>
    <row r="734">
      <c r="A734" s="158"/>
      <c r="B734" s="231"/>
      <c r="C734" s="242"/>
      <c r="D734" s="242"/>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c r="AW734" s="158"/>
      <c r="AX734" s="158"/>
      <c r="AY734" s="158"/>
      <c r="AZ734" s="158"/>
      <c r="BA734" s="158"/>
      <c r="BB734" s="158"/>
      <c r="BC734" s="158"/>
      <c r="BD734" s="158"/>
      <c r="BE734" s="158"/>
      <c r="BF734" s="158"/>
      <c r="BG734" s="158"/>
      <c r="BH734" s="158"/>
      <c r="BI734" s="158"/>
      <c r="BJ734" s="158"/>
      <c r="BK734" s="158"/>
      <c r="BL734" s="158"/>
      <c r="BM734" s="158"/>
      <c r="BN734" s="158"/>
      <c r="BO734" s="158"/>
      <c r="BP734" s="158"/>
      <c r="BQ734" s="158"/>
      <c r="BR734" s="158"/>
    </row>
    <row r="735">
      <c r="A735" s="158"/>
      <c r="B735" s="231"/>
      <c r="C735" s="242"/>
      <c r="D735" s="242"/>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c r="AW735" s="158"/>
      <c r="AX735" s="158"/>
      <c r="AY735" s="158"/>
      <c r="AZ735" s="158"/>
      <c r="BA735" s="158"/>
      <c r="BB735" s="158"/>
      <c r="BC735" s="158"/>
      <c r="BD735" s="158"/>
      <c r="BE735" s="158"/>
      <c r="BF735" s="158"/>
      <c r="BG735" s="158"/>
      <c r="BH735" s="158"/>
      <c r="BI735" s="158"/>
      <c r="BJ735" s="158"/>
      <c r="BK735" s="158"/>
      <c r="BL735" s="158"/>
      <c r="BM735" s="158"/>
      <c r="BN735" s="158"/>
      <c r="BO735" s="158"/>
      <c r="BP735" s="158"/>
      <c r="BQ735" s="158"/>
      <c r="BR735" s="158"/>
    </row>
    <row r="736">
      <c r="A736" s="158"/>
      <c r="B736" s="231"/>
      <c r="C736" s="242"/>
      <c r="D736" s="242"/>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c r="AW736" s="158"/>
      <c r="AX736" s="158"/>
      <c r="AY736" s="158"/>
      <c r="AZ736" s="158"/>
      <c r="BA736" s="158"/>
      <c r="BB736" s="158"/>
      <c r="BC736" s="158"/>
      <c r="BD736" s="158"/>
      <c r="BE736" s="158"/>
      <c r="BF736" s="158"/>
      <c r="BG736" s="158"/>
      <c r="BH736" s="158"/>
      <c r="BI736" s="158"/>
      <c r="BJ736" s="158"/>
      <c r="BK736" s="158"/>
      <c r="BL736" s="158"/>
      <c r="BM736" s="158"/>
      <c r="BN736" s="158"/>
      <c r="BO736" s="158"/>
      <c r="BP736" s="158"/>
      <c r="BQ736" s="158"/>
      <c r="BR736" s="158"/>
    </row>
    <row r="737">
      <c r="A737" s="158"/>
      <c r="B737" s="231"/>
      <c r="C737" s="242"/>
      <c r="D737" s="242"/>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c r="AW737" s="158"/>
      <c r="AX737" s="158"/>
      <c r="AY737" s="158"/>
      <c r="AZ737" s="158"/>
      <c r="BA737" s="158"/>
      <c r="BB737" s="158"/>
      <c r="BC737" s="158"/>
      <c r="BD737" s="158"/>
      <c r="BE737" s="158"/>
      <c r="BF737" s="158"/>
      <c r="BG737" s="158"/>
      <c r="BH737" s="158"/>
      <c r="BI737" s="158"/>
      <c r="BJ737" s="158"/>
      <c r="BK737" s="158"/>
      <c r="BL737" s="158"/>
      <c r="BM737" s="158"/>
      <c r="BN737" s="158"/>
      <c r="BO737" s="158"/>
      <c r="BP737" s="158"/>
      <c r="BQ737" s="158"/>
      <c r="BR737" s="158"/>
    </row>
    <row r="738">
      <c r="A738" s="158"/>
      <c r="B738" s="231"/>
      <c r="C738" s="242"/>
      <c r="D738" s="242"/>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c r="AW738" s="158"/>
      <c r="AX738" s="158"/>
      <c r="AY738" s="158"/>
      <c r="AZ738" s="158"/>
      <c r="BA738" s="158"/>
      <c r="BB738" s="158"/>
      <c r="BC738" s="158"/>
      <c r="BD738" s="158"/>
      <c r="BE738" s="158"/>
      <c r="BF738" s="158"/>
      <c r="BG738" s="158"/>
      <c r="BH738" s="158"/>
      <c r="BI738" s="158"/>
      <c r="BJ738" s="158"/>
      <c r="BK738" s="158"/>
      <c r="BL738" s="158"/>
      <c r="BM738" s="158"/>
      <c r="BN738" s="158"/>
      <c r="BO738" s="158"/>
      <c r="BP738" s="158"/>
      <c r="BQ738" s="158"/>
      <c r="BR738" s="158"/>
    </row>
    <row r="739">
      <c r="A739" s="158"/>
      <c r="B739" s="231"/>
      <c r="C739" s="242"/>
      <c r="D739" s="242"/>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c r="AW739" s="158"/>
      <c r="AX739" s="158"/>
      <c r="AY739" s="158"/>
      <c r="AZ739" s="158"/>
      <c r="BA739" s="158"/>
      <c r="BB739" s="158"/>
      <c r="BC739" s="158"/>
      <c r="BD739" s="158"/>
      <c r="BE739" s="158"/>
      <c r="BF739" s="158"/>
      <c r="BG739" s="158"/>
      <c r="BH739" s="158"/>
      <c r="BI739" s="158"/>
      <c r="BJ739" s="158"/>
      <c r="BK739" s="158"/>
      <c r="BL739" s="158"/>
      <c r="BM739" s="158"/>
      <c r="BN739" s="158"/>
      <c r="BO739" s="158"/>
      <c r="BP739" s="158"/>
      <c r="BQ739" s="158"/>
      <c r="BR739" s="158"/>
    </row>
    <row r="740">
      <c r="A740" s="158"/>
      <c r="B740" s="231"/>
      <c r="C740" s="242"/>
      <c r="D740" s="242"/>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c r="AW740" s="158"/>
      <c r="AX740" s="158"/>
      <c r="AY740" s="158"/>
      <c r="AZ740" s="158"/>
      <c r="BA740" s="158"/>
      <c r="BB740" s="158"/>
      <c r="BC740" s="158"/>
      <c r="BD740" s="158"/>
      <c r="BE740" s="158"/>
      <c r="BF740" s="158"/>
      <c r="BG740" s="158"/>
      <c r="BH740" s="158"/>
      <c r="BI740" s="158"/>
      <c r="BJ740" s="158"/>
      <c r="BK740" s="158"/>
      <c r="BL740" s="158"/>
      <c r="BM740" s="158"/>
      <c r="BN740" s="158"/>
      <c r="BO740" s="158"/>
      <c r="BP740" s="158"/>
      <c r="BQ740" s="158"/>
      <c r="BR740" s="158"/>
    </row>
    <row r="741">
      <c r="A741" s="158"/>
      <c r="B741" s="231"/>
      <c r="C741" s="242"/>
      <c r="D741" s="242"/>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c r="AW741" s="158"/>
      <c r="AX741" s="158"/>
      <c r="AY741" s="158"/>
      <c r="AZ741" s="158"/>
      <c r="BA741" s="158"/>
      <c r="BB741" s="158"/>
      <c r="BC741" s="158"/>
      <c r="BD741" s="158"/>
      <c r="BE741" s="158"/>
      <c r="BF741" s="158"/>
      <c r="BG741" s="158"/>
      <c r="BH741" s="158"/>
      <c r="BI741" s="158"/>
      <c r="BJ741" s="158"/>
      <c r="BK741" s="158"/>
      <c r="BL741" s="158"/>
      <c r="BM741" s="158"/>
      <c r="BN741" s="158"/>
      <c r="BO741" s="158"/>
      <c r="BP741" s="158"/>
      <c r="BQ741" s="158"/>
      <c r="BR741" s="158"/>
    </row>
    <row r="742">
      <c r="A742" s="158"/>
      <c r="B742" s="231"/>
      <c r="C742" s="242"/>
      <c r="D742" s="242"/>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c r="AW742" s="158"/>
      <c r="AX742" s="158"/>
      <c r="AY742" s="158"/>
      <c r="AZ742" s="158"/>
      <c r="BA742" s="158"/>
      <c r="BB742" s="158"/>
      <c r="BC742" s="158"/>
      <c r="BD742" s="158"/>
      <c r="BE742" s="158"/>
      <c r="BF742" s="158"/>
      <c r="BG742" s="158"/>
      <c r="BH742" s="158"/>
      <c r="BI742" s="158"/>
      <c r="BJ742" s="158"/>
      <c r="BK742" s="158"/>
      <c r="BL742" s="158"/>
      <c r="BM742" s="158"/>
      <c r="BN742" s="158"/>
      <c r="BO742" s="158"/>
      <c r="BP742" s="158"/>
      <c r="BQ742" s="158"/>
      <c r="BR742" s="158"/>
    </row>
    <row r="743">
      <c r="A743" s="158"/>
      <c r="B743" s="231"/>
      <c r="C743" s="242"/>
      <c r="D743" s="242"/>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c r="AW743" s="158"/>
      <c r="AX743" s="158"/>
      <c r="AY743" s="158"/>
      <c r="AZ743" s="158"/>
      <c r="BA743" s="158"/>
      <c r="BB743" s="158"/>
      <c r="BC743" s="158"/>
      <c r="BD743" s="158"/>
      <c r="BE743" s="158"/>
      <c r="BF743" s="158"/>
      <c r="BG743" s="158"/>
      <c r="BH743" s="158"/>
      <c r="BI743" s="158"/>
      <c r="BJ743" s="158"/>
      <c r="BK743" s="158"/>
      <c r="BL743" s="158"/>
      <c r="BM743" s="158"/>
      <c r="BN743" s="158"/>
      <c r="BO743" s="158"/>
      <c r="BP743" s="158"/>
      <c r="BQ743" s="158"/>
      <c r="BR743" s="158"/>
    </row>
    <row r="744">
      <c r="A744" s="158"/>
      <c r="B744" s="231"/>
      <c r="C744" s="242"/>
      <c r="D744" s="242"/>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c r="AW744" s="158"/>
      <c r="AX744" s="158"/>
      <c r="AY744" s="158"/>
      <c r="AZ744" s="158"/>
      <c r="BA744" s="158"/>
      <c r="BB744" s="158"/>
      <c r="BC744" s="158"/>
      <c r="BD744" s="158"/>
      <c r="BE744" s="158"/>
      <c r="BF744" s="158"/>
      <c r="BG744" s="158"/>
      <c r="BH744" s="158"/>
      <c r="BI744" s="158"/>
      <c r="BJ744" s="158"/>
      <c r="BK744" s="158"/>
      <c r="BL744" s="158"/>
      <c r="BM744" s="158"/>
      <c r="BN744" s="158"/>
      <c r="BO744" s="158"/>
      <c r="BP744" s="158"/>
      <c r="BQ744" s="158"/>
      <c r="BR744" s="158"/>
    </row>
    <row r="745">
      <c r="A745" s="158"/>
      <c r="B745" s="231"/>
      <c r="C745" s="242"/>
      <c r="D745" s="242"/>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c r="AW745" s="158"/>
      <c r="AX745" s="158"/>
      <c r="AY745" s="158"/>
      <c r="AZ745" s="158"/>
      <c r="BA745" s="158"/>
      <c r="BB745" s="158"/>
      <c r="BC745" s="158"/>
      <c r="BD745" s="158"/>
      <c r="BE745" s="158"/>
      <c r="BF745" s="158"/>
      <c r="BG745" s="158"/>
      <c r="BH745" s="158"/>
      <c r="BI745" s="158"/>
      <c r="BJ745" s="158"/>
      <c r="BK745" s="158"/>
      <c r="BL745" s="158"/>
      <c r="BM745" s="158"/>
      <c r="BN745" s="158"/>
      <c r="BO745" s="158"/>
      <c r="BP745" s="158"/>
      <c r="BQ745" s="158"/>
      <c r="BR745" s="158"/>
    </row>
    <row r="746">
      <c r="A746" s="158"/>
      <c r="B746" s="231"/>
      <c r="C746" s="242"/>
      <c r="D746" s="242"/>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c r="AW746" s="158"/>
      <c r="AX746" s="158"/>
      <c r="AY746" s="158"/>
      <c r="AZ746" s="158"/>
      <c r="BA746" s="158"/>
      <c r="BB746" s="158"/>
      <c r="BC746" s="158"/>
      <c r="BD746" s="158"/>
      <c r="BE746" s="158"/>
      <c r="BF746" s="158"/>
      <c r="BG746" s="158"/>
      <c r="BH746" s="158"/>
      <c r="BI746" s="158"/>
      <c r="BJ746" s="158"/>
      <c r="BK746" s="158"/>
      <c r="BL746" s="158"/>
      <c r="BM746" s="158"/>
      <c r="BN746" s="158"/>
      <c r="BO746" s="158"/>
      <c r="BP746" s="158"/>
      <c r="BQ746" s="158"/>
      <c r="BR746" s="158"/>
    </row>
    <row r="747">
      <c r="A747" s="158"/>
      <c r="B747" s="231"/>
      <c r="C747" s="242"/>
      <c r="D747" s="242"/>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c r="AW747" s="158"/>
      <c r="AX747" s="158"/>
      <c r="AY747" s="158"/>
      <c r="AZ747" s="158"/>
      <c r="BA747" s="158"/>
      <c r="BB747" s="158"/>
      <c r="BC747" s="158"/>
      <c r="BD747" s="158"/>
      <c r="BE747" s="158"/>
      <c r="BF747" s="158"/>
      <c r="BG747" s="158"/>
      <c r="BH747" s="158"/>
      <c r="BI747" s="158"/>
      <c r="BJ747" s="158"/>
      <c r="BK747" s="158"/>
      <c r="BL747" s="158"/>
      <c r="BM747" s="158"/>
      <c r="BN747" s="158"/>
      <c r="BO747" s="158"/>
      <c r="BP747" s="158"/>
      <c r="BQ747" s="158"/>
      <c r="BR747" s="158"/>
    </row>
    <row r="748">
      <c r="A748" s="158"/>
      <c r="B748" s="231"/>
      <c r="C748" s="242"/>
      <c r="D748" s="242"/>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c r="AW748" s="158"/>
      <c r="AX748" s="158"/>
      <c r="AY748" s="158"/>
      <c r="AZ748" s="158"/>
      <c r="BA748" s="158"/>
      <c r="BB748" s="158"/>
      <c r="BC748" s="158"/>
      <c r="BD748" s="158"/>
      <c r="BE748" s="158"/>
      <c r="BF748" s="158"/>
      <c r="BG748" s="158"/>
      <c r="BH748" s="158"/>
      <c r="BI748" s="158"/>
      <c r="BJ748" s="158"/>
      <c r="BK748" s="158"/>
      <c r="BL748" s="158"/>
      <c r="BM748" s="158"/>
      <c r="BN748" s="158"/>
      <c r="BO748" s="158"/>
      <c r="BP748" s="158"/>
      <c r="BQ748" s="158"/>
      <c r="BR748" s="158"/>
    </row>
    <row r="749">
      <c r="A749" s="158"/>
      <c r="B749" s="231"/>
      <c r="C749" s="242"/>
      <c r="D749" s="242"/>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c r="AW749" s="158"/>
      <c r="AX749" s="158"/>
      <c r="AY749" s="158"/>
      <c r="AZ749" s="158"/>
      <c r="BA749" s="158"/>
      <c r="BB749" s="158"/>
      <c r="BC749" s="158"/>
      <c r="BD749" s="158"/>
      <c r="BE749" s="158"/>
      <c r="BF749" s="158"/>
      <c r="BG749" s="158"/>
      <c r="BH749" s="158"/>
      <c r="BI749" s="158"/>
      <c r="BJ749" s="158"/>
      <c r="BK749" s="158"/>
      <c r="BL749" s="158"/>
      <c r="BM749" s="158"/>
      <c r="BN749" s="158"/>
      <c r="BO749" s="158"/>
      <c r="BP749" s="158"/>
      <c r="BQ749" s="158"/>
      <c r="BR749" s="158"/>
    </row>
    <row r="750">
      <c r="A750" s="158"/>
      <c r="B750" s="231"/>
      <c r="C750" s="242"/>
      <c r="D750" s="242"/>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c r="AW750" s="158"/>
      <c r="AX750" s="158"/>
      <c r="AY750" s="158"/>
      <c r="AZ750" s="158"/>
      <c r="BA750" s="158"/>
      <c r="BB750" s="158"/>
      <c r="BC750" s="158"/>
      <c r="BD750" s="158"/>
      <c r="BE750" s="158"/>
      <c r="BF750" s="158"/>
      <c r="BG750" s="158"/>
      <c r="BH750" s="158"/>
      <c r="BI750" s="158"/>
      <c r="BJ750" s="158"/>
      <c r="BK750" s="158"/>
      <c r="BL750" s="158"/>
      <c r="BM750" s="158"/>
      <c r="BN750" s="158"/>
      <c r="BO750" s="158"/>
      <c r="BP750" s="158"/>
      <c r="BQ750" s="158"/>
      <c r="BR750" s="158"/>
    </row>
    <row r="751">
      <c r="A751" s="158"/>
      <c r="B751" s="231"/>
      <c r="C751" s="242"/>
      <c r="D751" s="242"/>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c r="AW751" s="158"/>
      <c r="AX751" s="158"/>
      <c r="AY751" s="158"/>
      <c r="AZ751" s="158"/>
      <c r="BA751" s="158"/>
      <c r="BB751" s="158"/>
      <c r="BC751" s="158"/>
      <c r="BD751" s="158"/>
      <c r="BE751" s="158"/>
      <c r="BF751" s="158"/>
      <c r="BG751" s="158"/>
      <c r="BH751" s="158"/>
      <c r="BI751" s="158"/>
      <c r="BJ751" s="158"/>
      <c r="BK751" s="158"/>
      <c r="BL751" s="158"/>
      <c r="BM751" s="158"/>
      <c r="BN751" s="158"/>
      <c r="BO751" s="158"/>
      <c r="BP751" s="158"/>
      <c r="BQ751" s="158"/>
      <c r="BR751" s="158"/>
    </row>
    <row r="752">
      <c r="A752" s="158"/>
      <c r="B752" s="231"/>
      <c r="C752" s="242"/>
      <c r="D752" s="242"/>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c r="AW752" s="158"/>
      <c r="AX752" s="158"/>
      <c r="AY752" s="158"/>
      <c r="AZ752" s="158"/>
      <c r="BA752" s="158"/>
      <c r="BB752" s="158"/>
      <c r="BC752" s="158"/>
      <c r="BD752" s="158"/>
      <c r="BE752" s="158"/>
      <c r="BF752" s="158"/>
      <c r="BG752" s="158"/>
      <c r="BH752" s="158"/>
      <c r="BI752" s="158"/>
      <c r="BJ752" s="158"/>
      <c r="BK752" s="158"/>
      <c r="BL752" s="158"/>
      <c r="BM752" s="158"/>
      <c r="BN752" s="158"/>
      <c r="BO752" s="158"/>
      <c r="BP752" s="158"/>
      <c r="BQ752" s="158"/>
      <c r="BR752" s="158"/>
    </row>
    <row r="753">
      <c r="A753" s="158"/>
      <c r="B753" s="231"/>
      <c r="C753" s="242"/>
      <c r="D753" s="242"/>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c r="AW753" s="158"/>
      <c r="AX753" s="158"/>
      <c r="AY753" s="158"/>
      <c r="AZ753" s="158"/>
      <c r="BA753" s="158"/>
      <c r="BB753" s="158"/>
      <c r="BC753" s="158"/>
      <c r="BD753" s="158"/>
      <c r="BE753" s="158"/>
      <c r="BF753" s="158"/>
      <c r="BG753" s="158"/>
      <c r="BH753" s="158"/>
      <c r="BI753" s="158"/>
      <c r="BJ753" s="158"/>
      <c r="BK753" s="158"/>
      <c r="BL753" s="158"/>
      <c r="BM753" s="158"/>
      <c r="BN753" s="158"/>
      <c r="BO753" s="158"/>
      <c r="BP753" s="158"/>
      <c r="BQ753" s="158"/>
      <c r="BR753" s="158"/>
    </row>
    <row r="754">
      <c r="A754" s="158"/>
      <c r="B754" s="231"/>
      <c r="C754" s="242"/>
      <c r="D754" s="242"/>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c r="AW754" s="158"/>
      <c r="AX754" s="158"/>
      <c r="AY754" s="158"/>
      <c r="AZ754" s="158"/>
      <c r="BA754" s="158"/>
      <c r="BB754" s="158"/>
      <c r="BC754" s="158"/>
      <c r="BD754" s="158"/>
      <c r="BE754" s="158"/>
      <c r="BF754" s="158"/>
      <c r="BG754" s="158"/>
      <c r="BH754" s="158"/>
      <c r="BI754" s="158"/>
      <c r="BJ754" s="158"/>
      <c r="BK754" s="158"/>
      <c r="BL754" s="158"/>
      <c r="BM754" s="158"/>
      <c r="BN754" s="158"/>
      <c r="BO754" s="158"/>
      <c r="BP754" s="158"/>
      <c r="BQ754" s="158"/>
      <c r="BR754" s="158"/>
    </row>
    <row r="755">
      <c r="A755" s="158"/>
      <c r="B755" s="231"/>
      <c r="C755" s="242"/>
      <c r="D755" s="242"/>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c r="AW755" s="158"/>
      <c r="AX755" s="158"/>
      <c r="AY755" s="158"/>
      <c r="AZ755" s="158"/>
      <c r="BA755" s="158"/>
      <c r="BB755" s="158"/>
      <c r="BC755" s="158"/>
      <c r="BD755" s="158"/>
      <c r="BE755" s="158"/>
      <c r="BF755" s="158"/>
      <c r="BG755" s="158"/>
      <c r="BH755" s="158"/>
      <c r="BI755" s="158"/>
      <c r="BJ755" s="158"/>
      <c r="BK755" s="158"/>
      <c r="BL755" s="158"/>
      <c r="BM755" s="158"/>
      <c r="BN755" s="158"/>
      <c r="BO755" s="158"/>
      <c r="BP755" s="158"/>
      <c r="BQ755" s="158"/>
      <c r="BR755" s="158"/>
    </row>
    <row r="756">
      <c r="A756" s="158"/>
      <c r="B756" s="231"/>
      <c r="C756" s="242"/>
      <c r="D756" s="242"/>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c r="AW756" s="158"/>
      <c r="AX756" s="158"/>
      <c r="AY756" s="158"/>
      <c r="AZ756" s="158"/>
      <c r="BA756" s="158"/>
      <c r="BB756" s="158"/>
      <c r="BC756" s="158"/>
      <c r="BD756" s="158"/>
      <c r="BE756" s="158"/>
      <c r="BF756" s="158"/>
      <c r="BG756" s="158"/>
      <c r="BH756" s="158"/>
      <c r="BI756" s="158"/>
      <c r="BJ756" s="158"/>
      <c r="BK756" s="158"/>
      <c r="BL756" s="158"/>
      <c r="BM756" s="158"/>
      <c r="BN756" s="158"/>
      <c r="BO756" s="158"/>
      <c r="BP756" s="158"/>
      <c r="BQ756" s="158"/>
      <c r="BR756" s="158"/>
    </row>
    <row r="757">
      <c r="A757" s="158"/>
      <c r="B757" s="231"/>
      <c r="C757" s="242"/>
      <c r="D757" s="242"/>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c r="AW757" s="158"/>
      <c r="AX757" s="158"/>
      <c r="AY757" s="158"/>
      <c r="AZ757" s="158"/>
      <c r="BA757" s="158"/>
      <c r="BB757" s="158"/>
      <c r="BC757" s="158"/>
      <c r="BD757" s="158"/>
      <c r="BE757" s="158"/>
      <c r="BF757" s="158"/>
      <c r="BG757" s="158"/>
      <c r="BH757" s="158"/>
      <c r="BI757" s="158"/>
      <c r="BJ757" s="158"/>
      <c r="BK757" s="158"/>
      <c r="BL757" s="158"/>
      <c r="BM757" s="158"/>
      <c r="BN757" s="158"/>
      <c r="BO757" s="158"/>
      <c r="BP757" s="158"/>
      <c r="BQ757" s="158"/>
      <c r="BR757" s="158"/>
    </row>
    <row r="758">
      <c r="A758" s="158"/>
      <c r="B758" s="231"/>
      <c r="C758" s="242"/>
      <c r="D758" s="242"/>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c r="AW758" s="158"/>
      <c r="AX758" s="158"/>
      <c r="AY758" s="158"/>
      <c r="AZ758" s="158"/>
      <c r="BA758" s="158"/>
      <c r="BB758" s="158"/>
      <c r="BC758" s="158"/>
      <c r="BD758" s="158"/>
      <c r="BE758" s="158"/>
      <c r="BF758" s="158"/>
      <c r="BG758" s="158"/>
      <c r="BH758" s="158"/>
      <c r="BI758" s="158"/>
      <c r="BJ758" s="158"/>
      <c r="BK758" s="158"/>
      <c r="BL758" s="158"/>
      <c r="BM758" s="158"/>
      <c r="BN758" s="158"/>
      <c r="BO758" s="158"/>
      <c r="BP758" s="158"/>
      <c r="BQ758" s="158"/>
      <c r="BR758" s="158"/>
    </row>
    <row r="759">
      <c r="A759" s="158"/>
      <c r="B759" s="231"/>
      <c r="C759" s="242"/>
      <c r="D759" s="242"/>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c r="AW759" s="158"/>
      <c r="AX759" s="158"/>
      <c r="AY759" s="158"/>
      <c r="AZ759" s="158"/>
      <c r="BA759" s="158"/>
      <c r="BB759" s="158"/>
      <c r="BC759" s="158"/>
      <c r="BD759" s="158"/>
      <c r="BE759" s="158"/>
      <c r="BF759" s="158"/>
      <c r="BG759" s="158"/>
      <c r="BH759" s="158"/>
      <c r="BI759" s="158"/>
      <c r="BJ759" s="158"/>
      <c r="BK759" s="158"/>
      <c r="BL759" s="158"/>
      <c r="BM759" s="158"/>
      <c r="BN759" s="158"/>
      <c r="BO759" s="158"/>
      <c r="BP759" s="158"/>
      <c r="BQ759" s="158"/>
      <c r="BR759" s="158"/>
    </row>
    <row r="760">
      <c r="A760" s="158"/>
      <c r="B760" s="231"/>
      <c r="C760" s="242"/>
      <c r="D760" s="242"/>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c r="AW760" s="158"/>
      <c r="AX760" s="158"/>
      <c r="AY760" s="158"/>
      <c r="AZ760" s="158"/>
      <c r="BA760" s="158"/>
      <c r="BB760" s="158"/>
      <c r="BC760" s="158"/>
      <c r="BD760" s="158"/>
      <c r="BE760" s="158"/>
      <c r="BF760" s="158"/>
      <c r="BG760" s="158"/>
      <c r="BH760" s="158"/>
      <c r="BI760" s="158"/>
      <c r="BJ760" s="158"/>
      <c r="BK760" s="158"/>
      <c r="BL760" s="158"/>
      <c r="BM760" s="158"/>
      <c r="BN760" s="158"/>
      <c r="BO760" s="158"/>
      <c r="BP760" s="158"/>
      <c r="BQ760" s="158"/>
      <c r="BR760" s="158"/>
    </row>
    <row r="761">
      <c r="A761" s="158"/>
      <c r="B761" s="231"/>
      <c r="C761" s="242"/>
      <c r="D761" s="242"/>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c r="AW761" s="158"/>
      <c r="AX761" s="158"/>
      <c r="AY761" s="158"/>
      <c r="AZ761" s="158"/>
      <c r="BA761" s="158"/>
      <c r="BB761" s="158"/>
      <c r="BC761" s="158"/>
      <c r="BD761" s="158"/>
      <c r="BE761" s="158"/>
      <c r="BF761" s="158"/>
      <c r="BG761" s="158"/>
      <c r="BH761" s="158"/>
      <c r="BI761" s="158"/>
      <c r="BJ761" s="158"/>
      <c r="BK761" s="158"/>
      <c r="BL761" s="158"/>
      <c r="BM761" s="158"/>
      <c r="BN761" s="158"/>
      <c r="BO761" s="158"/>
      <c r="BP761" s="158"/>
      <c r="BQ761" s="158"/>
      <c r="BR761" s="158"/>
    </row>
    <row r="762">
      <c r="A762" s="158"/>
      <c r="B762" s="231"/>
      <c r="C762" s="242"/>
      <c r="D762" s="242"/>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c r="AW762" s="158"/>
      <c r="AX762" s="158"/>
      <c r="AY762" s="158"/>
      <c r="AZ762" s="158"/>
      <c r="BA762" s="158"/>
      <c r="BB762" s="158"/>
      <c r="BC762" s="158"/>
      <c r="BD762" s="158"/>
      <c r="BE762" s="158"/>
      <c r="BF762" s="158"/>
      <c r="BG762" s="158"/>
      <c r="BH762" s="158"/>
      <c r="BI762" s="158"/>
      <c r="BJ762" s="158"/>
      <c r="BK762" s="158"/>
      <c r="BL762" s="158"/>
      <c r="BM762" s="158"/>
      <c r="BN762" s="158"/>
      <c r="BO762" s="158"/>
      <c r="BP762" s="158"/>
      <c r="BQ762" s="158"/>
      <c r="BR762" s="158"/>
    </row>
    <row r="763">
      <c r="A763" s="158"/>
      <c r="B763" s="231"/>
      <c r="C763" s="242"/>
      <c r="D763" s="242"/>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c r="AW763" s="158"/>
      <c r="AX763" s="158"/>
      <c r="AY763" s="158"/>
      <c r="AZ763" s="158"/>
      <c r="BA763" s="158"/>
      <c r="BB763" s="158"/>
      <c r="BC763" s="158"/>
      <c r="BD763" s="158"/>
      <c r="BE763" s="158"/>
      <c r="BF763" s="158"/>
      <c r="BG763" s="158"/>
      <c r="BH763" s="158"/>
      <c r="BI763" s="158"/>
      <c r="BJ763" s="158"/>
      <c r="BK763" s="158"/>
      <c r="BL763" s="158"/>
      <c r="BM763" s="158"/>
      <c r="BN763" s="158"/>
      <c r="BO763" s="158"/>
      <c r="BP763" s="158"/>
      <c r="BQ763" s="158"/>
      <c r="BR763" s="158"/>
    </row>
    <row r="764">
      <c r="A764" s="158"/>
      <c r="B764" s="231"/>
      <c r="C764" s="242"/>
      <c r="D764" s="242"/>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c r="AW764" s="158"/>
      <c r="AX764" s="158"/>
      <c r="AY764" s="158"/>
      <c r="AZ764" s="158"/>
      <c r="BA764" s="158"/>
      <c r="BB764" s="158"/>
      <c r="BC764" s="158"/>
      <c r="BD764" s="158"/>
      <c r="BE764" s="158"/>
      <c r="BF764" s="158"/>
      <c r="BG764" s="158"/>
      <c r="BH764" s="158"/>
      <c r="BI764" s="158"/>
      <c r="BJ764" s="158"/>
      <c r="BK764" s="158"/>
      <c r="BL764" s="158"/>
      <c r="BM764" s="158"/>
      <c r="BN764" s="158"/>
      <c r="BO764" s="158"/>
      <c r="BP764" s="158"/>
      <c r="BQ764" s="158"/>
      <c r="BR764" s="158"/>
    </row>
    <row r="765">
      <c r="A765" s="158"/>
      <c r="B765" s="231"/>
      <c r="C765" s="242"/>
      <c r="D765" s="242"/>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c r="AW765" s="158"/>
      <c r="AX765" s="158"/>
      <c r="AY765" s="158"/>
      <c r="AZ765" s="158"/>
      <c r="BA765" s="158"/>
      <c r="BB765" s="158"/>
      <c r="BC765" s="158"/>
      <c r="BD765" s="158"/>
      <c r="BE765" s="158"/>
      <c r="BF765" s="158"/>
      <c r="BG765" s="158"/>
      <c r="BH765" s="158"/>
      <c r="BI765" s="158"/>
      <c r="BJ765" s="158"/>
      <c r="BK765" s="158"/>
      <c r="BL765" s="158"/>
      <c r="BM765" s="158"/>
      <c r="BN765" s="158"/>
      <c r="BO765" s="158"/>
      <c r="BP765" s="158"/>
      <c r="BQ765" s="158"/>
      <c r="BR765" s="158"/>
    </row>
    <row r="766">
      <c r="A766" s="158"/>
      <c r="B766" s="231"/>
      <c r="C766" s="242"/>
      <c r="D766" s="242"/>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c r="AW766" s="158"/>
      <c r="AX766" s="158"/>
      <c r="AY766" s="158"/>
      <c r="AZ766" s="158"/>
      <c r="BA766" s="158"/>
      <c r="BB766" s="158"/>
      <c r="BC766" s="158"/>
      <c r="BD766" s="158"/>
      <c r="BE766" s="158"/>
      <c r="BF766" s="158"/>
      <c r="BG766" s="158"/>
      <c r="BH766" s="158"/>
      <c r="BI766" s="158"/>
      <c r="BJ766" s="158"/>
      <c r="BK766" s="158"/>
      <c r="BL766" s="158"/>
      <c r="BM766" s="158"/>
      <c r="BN766" s="158"/>
      <c r="BO766" s="158"/>
      <c r="BP766" s="158"/>
      <c r="BQ766" s="158"/>
      <c r="BR766" s="158"/>
    </row>
    <row r="767">
      <c r="A767" s="158"/>
      <c r="B767" s="231"/>
      <c r="C767" s="242"/>
      <c r="D767" s="242"/>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c r="AW767" s="158"/>
      <c r="AX767" s="158"/>
      <c r="AY767" s="158"/>
      <c r="AZ767" s="158"/>
      <c r="BA767" s="158"/>
      <c r="BB767" s="158"/>
      <c r="BC767" s="158"/>
      <c r="BD767" s="158"/>
      <c r="BE767" s="158"/>
      <c r="BF767" s="158"/>
      <c r="BG767" s="158"/>
      <c r="BH767" s="158"/>
      <c r="BI767" s="158"/>
      <c r="BJ767" s="158"/>
      <c r="BK767" s="158"/>
      <c r="BL767" s="158"/>
      <c r="BM767" s="158"/>
      <c r="BN767" s="158"/>
      <c r="BO767" s="158"/>
      <c r="BP767" s="158"/>
      <c r="BQ767" s="158"/>
      <c r="BR767" s="158"/>
    </row>
    <row r="768">
      <c r="A768" s="158"/>
      <c r="B768" s="231"/>
      <c r="C768" s="242"/>
      <c r="D768" s="242"/>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c r="AW768" s="158"/>
      <c r="AX768" s="158"/>
      <c r="AY768" s="158"/>
      <c r="AZ768" s="158"/>
      <c r="BA768" s="158"/>
      <c r="BB768" s="158"/>
      <c r="BC768" s="158"/>
      <c r="BD768" s="158"/>
      <c r="BE768" s="158"/>
      <c r="BF768" s="158"/>
      <c r="BG768" s="158"/>
      <c r="BH768" s="158"/>
      <c r="BI768" s="158"/>
      <c r="BJ768" s="158"/>
      <c r="BK768" s="158"/>
      <c r="BL768" s="158"/>
      <c r="BM768" s="158"/>
      <c r="BN768" s="158"/>
      <c r="BO768" s="158"/>
      <c r="BP768" s="158"/>
      <c r="BQ768" s="158"/>
      <c r="BR768" s="158"/>
    </row>
    <row r="769">
      <c r="A769" s="158"/>
      <c r="B769" s="231"/>
      <c r="C769" s="242"/>
      <c r="D769" s="242"/>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c r="AW769" s="158"/>
      <c r="AX769" s="158"/>
      <c r="AY769" s="158"/>
      <c r="AZ769" s="158"/>
      <c r="BA769" s="158"/>
      <c r="BB769" s="158"/>
      <c r="BC769" s="158"/>
      <c r="BD769" s="158"/>
      <c r="BE769" s="158"/>
      <c r="BF769" s="158"/>
      <c r="BG769" s="158"/>
      <c r="BH769" s="158"/>
      <c r="BI769" s="158"/>
      <c r="BJ769" s="158"/>
      <c r="BK769" s="158"/>
      <c r="BL769" s="158"/>
      <c r="BM769" s="158"/>
      <c r="BN769" s="158"/>
      <c r="BO769" s="158"/>
      <c r="BP769" s="158"/>
      <c r="BQ769" s="158"/>
      <c r="BR769" s="158"/>
    </row>
    <row r="770">
      <c r="A770" s="158"/>
      <c r="B770" s="231"/>
      <c r="C770" s="242"/>
      <c r="D770" s="242"/>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c r="AW770" s="158"/>
      <c r="AX770" s="158"/>
      <c r="AY770" s="158"/>
      <c r="AZ770" s="158"/>
      <c r="BA770" s="158"/>
      <c r="BB770" s="158"/>
      <c r="BC770" s="158"/>
      <c r="BD770" s="158"/>
      <c r="BE770" s="158"/>
      <c r="BF770" s="158"/>
      <c r="BG770" s="158"/>
      <c r="BH770" s="158"/>
      <c r="BI770" s="158"/>
      <c r="BJ770" s="158"/>
      <c r="BK770" s="158"/>
      <c r="BL770" s="158"/>
      <c r="BM770" s="158"/>
      <c r="BN770" s="158"/>
      <c r="BO770" s="158"/>
      <c r="BP770" s="158"/>
      <c r="BQ770" s="158"/>
      <c r="BR770" s="158"/>
    </row>
    <row r="771">
      <c r="A771" s="158"/>
      <c r="B771" s="231"/>
      <c r="C771" s="242"/>
      <c r="D771" s="242"/>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c r="AW771" s="158"/>
      <c r="AX771" s="158"/>
      <c r="AY771" s="158"/>
      <c r="AZ771" s="158"/>
      <c r="BA771" s="158"/>
      <c r="BB771" s="158"/>
      <c r="BC771" s="158"/>
      <c r="BD771" s="158"/>
      <c r="BE771" s="158"/>
      <c r="BF771" s="158"/>
      <c r="BG771" s="158"/>
      <c r="BH771" s="158"/>
      <c r="BI771" s="158"/>
      <c r="BJ771" s="158"/>
      <c r="BK771" s="158"/>
      <c r="BL771" s="158"/>
      <c r="BM771" s="158"/>
      <c r="BN771" s="158"/>
      <c r="BO771" s="158"/>
      <c r="BP771" s="158"/>
      <c r="BQ771" s="158"/>
      <c r="BR771" s="158"/>
    </row>
    <row r="772">
      <c r="A772" s="158"/>
      <c r="B772" s="231"/>
      <c r="C772" s="242"/>
      <c r="D772" s="242"/>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c r="AW772" s="158"/>
      <c r="AX772" s="158"/>
      <c r="AY772" s="158"/>
      <c r="AZ772" s="158"/>
      <c r="BA772" s="158"/>
      <c r="BB772" s="158"/>
      <c r="BC772" s="158"/>
      <c r="BD772" s="158"/>
      <c r="BE772" s="158"/>
      <c r="BF772" s="158"/>
      <c r="BG772" s="158"/>
      <c r="BH772" s="158"/>
      <c r="BI772" s="158"/>
      <c r="BJ772" s="158"/>
      <c r="BK772" s="158"/>
      <c r="BL772" s="158"/>
      <c r="BM772" s="158"/>
      <c r="BN772" s="158"/>
      <c r="BO772" s="158"/>
      <c r="BP772" s="158"/>
      <c r="BQ772" s="158"/>
      <c r="BR772" s="158"/>
    </row>
    <row r="773">
      <c r="A773" s="158"/>
      <c r="B773" s="231"/>
      <c r="C773" s="242"/>
      <c r="D773" s="242"/>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c r="AW773" s="158"/>
      <c r="AX773" s="158"/>
      <c r="AY773" s="158"/>
      <c r="AZ773" s="158"/>
      <c r="BA773" s="158"/>
      <c r="BB773" s="158"/>
      <c r="BC773" s="158"/>
      <c r="BD773" s="158"/>
      <c r="BE773" s="158"/>
      <c r="BF773" s="158"/>
      <c r="BG773" s="158"/>
      <c r="BH773" s="158"/>
      <c r="BI773" s="158"/>
      <c r="BJ773" s="158"/>
      <c r="BK773" s="158"/>
      <c r="BL773" s="158"/>
      <c r="BM773" s="158"/>
      <c r="BN773" s="158"/>
      <c r="BO773" s="158"/>
      <c r="BP773" s="158"/>
      <c r="BQ773" s="158"/>
      <c r="BR773" s="158"/>
    </row>
    <row r="774">
      <c r="A774" s="158"/>
      <c r="B774" s="231"/>
      <c r="C774" s="242"/>
      <c r="D774" s="242"/>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c r="AW774" s="158"/>
      <c r="AX774" s="158"/>
      <c r="AY774" s="158"/>
      <c r="AZ774" s="158"/>
      <c r="BA774" s="158"/>
      <c r="BB774" s="158"/>
      <c r="BC774" s="158"/>
      <c r="BD774" s="158"/>
      <c r="BE774" s="158"/>
      <c r="BF774" s="158"/>
      <c r="BG774" s="158"/>
      <c r="BH774" s="158"/>
      <c r="BI774" s="158"/>
      <c r="BJ774" s="158"/>
      <c r="BK774" s="158"/>
      <c r="BL774" s="158"/>
      <c r="BM774" s="158"/>
      <c r="BN774" s="158"/>
      <c r="BO774" s="158"/>
      <c r="BP774" s="158"/>
      <c r="BQ774" s="158"/>
      <c r="BR774" s="158"/>
    </row>
    <row r="775">
      <c r="A775" s="158"/>
      <c r="B775" s="231"/>
      <c r="C775" s="242"/>
      <c r="D775" s="242"/>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c r="AW775" s="158"/>
      <c r="AX775" s="158"/>
      <c r="AY775" s="158"/>
      <c r="AZ775" s="158"/>
      <c r="BA775" s="158"/>
      <c r="BB775" s="158"/>
      <c r="BC775" s="158"/>
      <c r="BD775" s="158"/>
      <c r="BE775" s="158"/>
      <c r="BF775" s="158"/>
      <c r="BG775" s="158"/>
      <c r="BH775" s="158"/>
      <c r="BI775" s="158"/>
      <c r="BJ775" s="158"/>
      <c r="BK775" s="158"/>
      <c r="BL775" s="158"/>
      <c r="BM775" s="158"/>
      <c r="BN775" s="158"/>
      <c r="BO775" s="158"/>
      <c r="BP775" s="158"/>
      <c r="BQ775" s="158"/>
      <c r="BR775" s="158"/>
    </row>
    <row r="776">
      <c r="A776" s="158"/>
      <c r="B776" s="231"/>
      <c r="C776" s="242"/>
      <c r="D776" s="242"/>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c r="AW776" s="158"/>
      <c r="AX776" s="158"/>
      <c r="AY776" s="158"/>
      <c r="AZ776" s="158"/>
      <c r="BA776" s="158"/>
      <c r="BB776" s="158"/>
      <c r="BC776" s="158"/>
      <c r="BD776" s="158"/>
      <c r="BE776" s="158"/>
      <c r="BF776" s="158"/>
      <c r="BG776" s="158"/>
      <c r="BH776" s="158"/>
      <c r="BI776" s="158"/>
      <c r="BJ776" s="158"/>
      <c r="BK776" s="158"/>
      <c r="BL776" s="158"/>
      <c r="BM776" s="158"/>
      <c r="BN776" s="158"/>
      <c r="BO776" s="158"/>
      <c r="BP776" s="158"/>
      <c r="BQ776" s="158"/>
      <c r="BR776" s="158"/>
    </row>
    <row r="777">
      <c r="A777" s="158"/>
      <c r="B777" s="231"/>
      <c r="C777" s="242"/>
      <c r="D777" s="242"/>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c r="AW777" s="158"/>
      <c r="AX777" s="158"/>
      <c r="AY777" s="158"/>
      <c r="AZ777" s="158"/>
      <c r="BA777" s="158"/>
      <c r="BB777" s="158"/>
      <c r="BC777" s="158"/>
      <c r="BD777" s="158"/>
      <c r="BE777" s="158"/>
      <c r="BF777" s="158"/>
      <c r="BG777" s="158"/>
      <c r="BH777" s="158"/>
      <c r="BI777" s="158"/>
      <c r="BJ777" s="158"/>
      <c r="BK777" s="158"/>
      <c r="BL777" s="158"/>
      <c r="BM777" s="158"/>
      <c r="BN777" s="158"/>
      <c r="BO777" s="158"/>
      <c r="BP777" s="158"/>
      <c r="BQ777" s="158"/>
      <c r="BR777" s="158"/>
    </row>
    <row r="778">
      <c r="A778" s="158"/>
      <c r="B778" s="231"/>
      <c r="C778" s="242"/>
      <c r="D778" s="242"/>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c r="AW778" s="158"/>
      <c r="AX778" s="158"/>
      <c r="AY778" s="158"/>
      <c r="AZ778" s="158"/>
      <c r="BA778" s="158"/>
      <c r="BB778" s="158"/>
      <c r="BC778" s="158"/>
      <c r="BD778" s="158"/>
      <c r="BE778" s="158"/>
      <c r="BF778" s="158"/>
      <c r="BG778" s="158"/>
      <c r="BH778" s="158"/>
      <c r="BI778" s="158"/>
      <c r="BJ778" s="158"/>
      <c r="BK778" s="158"/>
      <c r="BL778" s="158"/>
      <c r="BM778" s="158"/>
      <c r="BN778" s="158"/>
      <c r="BO778" s="158"/>
      <c r="BP778" s="158"/>
      <c r="BQ778" s="158"/>
      <c r="BR778" s="158"/>
    </row>
    <row r="779">
      <c r="A779" s="158"/>
      <c r="B779" s="231"/>
      <c r="C779" s="242"/>
      <c r="D779" s="242"/>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c r="AW779" s="158"/>
      <c r="AX779" s="158"/>
      <c r="AY779" s="158"/>
      <c r="AZ779" s="158"/>
      <c r="BA779" s="158"/>
      <c r="BB779" s="158"/>
      <c r="BC779" s="158"/>
      <c r="BD779" s="158"/>
      <c r="BE779" s="158"/>
      <c r="BF779" s="158"/>
      <c r="BG779" s="158"/>
      <c r="BH779" s="158"/>
      <c r="BI779" s="158"/>
      <c r="BJ779" s="158"/>
      <c r="BK779" s="158"/>
      <c r="BL779" s="158"/>
      <c r="BM779" s="158"/>
      <c r="BN779" s="158"/>
      <c r="BO779" s="158"/>
      <c r="BP779" s="158"/>
      <c r="BQ779" s="158"/>
      <c r="BR779" s="158"/>
    </row>
    <row r="780">
      <c r="A780" s="158"/>
      <c r="B780" s="231"/>
      <c r="C780" s="242"/>
      <c r="D780" s="242"/>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c r="AW780" s="158"/>
      <c r="AX780" s="158"/>
      <c r="AY780" s="158"/>
      <c r="AZ780" s="158"/>
      <c r="BA780" s="158"/>
      <c r="BB780" s="158"/>
      <c r="BC780" s="158"/>
      <c r="BD780" s="158"/>
      <c r="BE780" s="158"/>
      <c r="BF780" s="158"/>
      <c r="BG780" s="158"/>
      <c r="BH780" s="158"/>
      <c r="BI780" s="158"/>
      <c r="BJ780" s="158"/>
      <c r="BK780" s="158"/>
      <c r="BL780" s="158"/>
      <c r="BM780" s="158"/>
      <c r="BN780" s="158"/>
      <c r="BO780" s="158"/>
      <c r="BP780" s="158"/>
      <c r="BQ780" s="158"/>
      <c r="BR780" s="158"/>
    </row>
    <row r="781">
      <c r="A781" s="158"/>
      <c r="B781" s="231"/>
      <c r="C781" s="242"/>
      <c r="D781" s="242"/>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c r="AW781" s="158"/>
      <c r="AX781" s="158"/>
      <c r="AY781" s="158"/>
      <c r="AZ781" s="158"/>
      <c r="BA781" s="158"/>
      <c r="BB781" s="158"/>
      <c r="BC781" s="158"/>
      <c r="BD781" s="158"/>
      <c r="BE781" s="158"/>
      <c r="BF781" s="158"/>
      <c r="BG781" s="158"/>
      <c r="BH781" s="158"/>
      <c r="BI781" s="158"/>
      <c r="BJ781" s="158"/>
      <c r="BK781" s="158"/>
      <c r="BL781" s="158"/>
      <c r="BM781" s="158"/>
      <c r="BN781" s="158"/>
      <c r="BO781" s="158"/>
      <c r="BP781" s="158"/>
      <c r="BQ781" s="158"/>
      <c r="BR781" s="158"/>
    </row>
    <row r="782">
      <c r="A782" s="158"/>
      <c r="B782" s="231"/>
      <c r="C782" s="242"/>
      <c r="D782" s="242"/>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c r="AW782" s="158"/>
      <c r="AX782" s="158"/>
      <c r="AY782" s="158"/>
      <c r="AZ782" s="158"/>
      <c r="BA782" s="158"/>
      <c r="BB782" s="158"/>
      <c r="BC782" s="158"/>
      <c r="BD782" s="158"/>
      <c r="BE782" s="158"/>
      <c r="BF782" s="158"/>
      <c r="BG782" s="158"/>
      <c r="BH782" s="158"/>
      <c r="BI782" s="158"/>
      <c r="BJ782" s="158"/>
      <c r="BK782" s="158"/>
      <c r="BL782" s="158"/>
      <c r="BM782" s="158"/>
      <c r="BN782" s="158"/>
      <c r="BO782" s="158"/>
      <c r="BP782" s="158"/>
      <c r="BQ782" s="158"/>
      <c r="BR782" s="158"/>
    </row>
    <row r="783">
      <c r="A783" s="158"/>
      <c r="B783" s="231"/>
      <c r="C783" s="242"/>
      <c r="D783" s="242"/>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c r="AW783" s="158"/>
      <c r="AX783" s="158"/>
      <c r="AY783" s="158"/>
      <c r="AZ783" s="158"/>
      <c r="BA783" s="158"/>
      <c r="BB783" s="158"/>
      <c r="BC783" s="158"/>
      <c r="BD783" s="158"/>
      <c r="BE783" s="158"/>
      <c r="BF783" s="158"/>
      <c r="BG783" s="158"/>
      <c r="BH783" s="158"/>
      <c r="BI783" s="158"/>
      <c r="BJ783" s="158"/>
      <c r="BK783" s="158"/>
      <c r="BL783" s="158"/>
      <c r="BM783" s="158"/>
      <c r="BN783" s="158"/>
      <c r="BO783" s="158"/>
      <c r="BP783" s="158"/>
      <c r="BQ783" s="158"/>
      <c r="BR783" s="158"/>
    </row>
    <row r="784">
      <c r="A784" s="158"/>
      <c r="B784" s="231"/>
      <c r="C784" s="242"/>
      <c r="D784" s="242"/>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c r="AW784" s="158"/>
      <c r="AX784" s="158"/>
      <c r="AY784" s="158"/>
      <c r="AZ784" s="158"/>
      <c r="BA784" s="158"/>
      <c r="BB784" s="158"/>
      <c r="BC784" s="158"/>
      <c r="BD784" s="158"/>
      <c r="BE784" s="158"/>
      <c r="BF784" s="158"/>
      <c r="BG784" s="158"/>
      <c r="BH784" s="158"/>
      <c r="BI784" s="158"/>
      <c r="BJ784" s="158"/>
      <c r="BK784" s="158"/>
      <c r="BL784" s="158"/>
      <c r="BM784" s="158"/>
      <c r="BN784" s="158"/>
      <c r="BO784" s="158"/>
      <c r="BP784" s="158"/>
      <c r="BQ784" s="158"/>
      <c r="BR784" s="158"/>
    </row>
    <row r="785">
      <c r="A785" s="158"/>
      <c r="B785" s="231"/>
      <c r="C785" s="242"/>
      <c r="D785" s="242"/>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c r="AW785" s="158"/>
      <c r="AX785" s="158"/>
      <c r="AY785" s="158"/>
      <c r="AZ785" s="158"/>
      <c r="BA785" s="158"/>
      <c r="BB785" s="158"/>
      <c r="BC785" s="158"/>
      <c r="BD785" s="158"/>
      <c r="BE785" s="158"/>
      <c r="BF785" s="158"/>
      <c r="BG785" s="158"/>
      <c r="BH785" s="158"/>
      <c r="BI785" s="158"/>
      <c r="BJ785" s="158"/>
      <c r="BK785" s="158"/>
      <c r="BL785" s="158"/>
      <c r="BM785" s="158"/>
      <c r="BN785" s="158"/>
      <c r="BO785" s="158"/>
      <c r="BP785" s="158"/>
      <c r="BQ785" s="158"/>
      <c r="BR785" s="158"/>
    </row>
    <row r="786">
      <c r="A786" s="158"/>
      <c r="B786" s="231"/>
      <c r="C786" s="242"/>
      <c r="D786" s="242"/>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c r="AW786" s="158"/>
      <c r="AX786" s="158"/>
      <c r="AY786" s="158"/>
      <c r="AZ786" s="158"/>
      <c r="BA786" s="158"/>
      <c r="BB786" s="158"/>
      <c r="BC786" s="158"/>
      <c r="BD786" s="158"/>
      <c r="BE786" s="158"/>
      <c r="BF786" s="158"/>
      <c r="BG786" s="158"/>
      <c r="BH786" s="158"/>
      <c r="BI786" s="158"/>
      <c r="BJ786" s="158"/>
      <c r="BK786" s="158"/>
      <c r="BL786" s="158"/>
      <c r="BM786" s="158"/>
      <c r="BN786" s="158"/>
      <c r="BO786" s="158"/>
      <c r="BP786" s="158"/>
      <c r="BQ786" s="158"/>
      <c r="BR786" s="158"/>
    </row>
    <row r="787">
      <c r="A787" s="158"/>
      <c r="B787" s="231"/>
      <c r="C787" s="242"/>
      <c r="D787" s="242"/>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c r="AW787" s="158"/>
      <c r="AX787" s="158"/>
      <c r="AY787" s="158"/>
      <c r="AZ787" s="158"/>
      <c r="BA787" s="158"/>
      <c r="BB787" s="158"/>
      <c r="BC787" s="158"/>
      <c r="BD787" s="158"/>
      <c r="BE787" s="158"/>
      <c r="BF787" s="158"/>
      <c r="BG787" s="158"/>
      <c r="BH787" s="158"/>
      <c r="BI787" s="158"/>
      <c r="BJ787" s="158"/>
      <c r="BK787" s="158"/>
      <c r="BL787" s="158"/>
      <c r="BM787" s="158"/>
      <c r="BN787" s="158"/>
      <c r="BO787" s="158"/>
      <c r="BP787" s="158"/>
      <c r="BQ787" s="158"/>
      <c r="BR787" s="158"/>
    </row>
    <row r="788">
      <c r="A788" s="158"/>
      <c r="B788" s="231"/>
      <c r="C788" s="242"/>
      <c r="D788" s="242"/>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c r="AW788" s="158"/>
      <c r="AX788" s="158"/>
      <c r="AY788" s="158"/>
      <c r="AZ788" s="158"/>
      <c r="BA788" s="158"/>
      <c r="BB788" s="158"/>
      <c r="BC788" s="158"/>
      <c r="BD788" s="158"/>
      <c r="BE788" s="158"/>
      <c r="BF788" s="158"/>
      <c r="BG788" s="158"/>
      <c r="BH788" s="158"/>
      <c r="BI788" s="158"/>
      <c r="BJ788" s="158"/>
      <c r="BK788" s="158"/>
      <c r="BL788" s="158"/>
      <c r="BM788" s="158"/>
      <c r="BN788" s="158"/>
      <c r="BO788" s="158"/>
      <c r="BP788" s="158"/>
      <c r="BQ788" s="158"/>
      <c r="BR788" s="158"/>
    </row>
    <row r="789">
      <c r="A789" s="158"/>
      <c r="B789" s="231"/>
      <c r="C789" s="242"/>
      <c r="D789" s="242"/>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c r="AW789" s="158"/>
      <c r="AX789" s="158"/>
      <c r="AY789" s="158"/>
      <c r="AZ789" s="158"/>
      <c r="BA789" s="158"/>
      <c r="BB789" s="158"/>
      <c r="BC789" s="158"/>
      <c r="BD789" s="158"/>
      <c r="BE789" s="158"/>
      <c r="BF789" s="158"/>
      <c r="BG789" s="158"/>
      <c r="BH789" s="158"/>
      <c r="BI789" s="158"/>
      <c r="BJ789" s="158"/>
      <c r="BK789" s="158"/>
      <c r="BL789" s="158"/>
      <c r="BM789" s="158"/>
      <c r="BN789" s="158"/>
      <c r="BO789" s="158"/>
      <c r="BP789" s="158"/>
      <c r="BQ789" s="158"/>
      <c r="BR789" s="158"/>
    </row>
    <row r="790">
      <c r="A790" s="158"/>
      <c r="B790" s="231"/>
      <c r="C790" s="242"/>
      <c r="D790" s="242"/>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c r="AW790" s="158"/>
      <c r="AX790" s="158"/>
      <c r="AY790" s="158"/>
      <c r="AZ790" s="158"/>
      <c r="BA790" s="158"/>
      <c r="BB790" s="158"/>
      <c r="BC790" s="158"/>
      <c r="BD790" s="158"/>
      <c r="BE790" s="158"/>
      <c r="BF790" s="158"/>
      <c r="BG790" s="158"/>
      <c r="BH790" s="158"/>
      <c r="BI790" s="158"/>
      <c r="BJ790" s="158"/>
      <c r="BK790" s="158"/>
      <c r="BL790" s="158"/>
      <c r="BM790" s="158"/>
      <c r="BN790" s="158"/>
      <c r="BO790" s="158"/>
      <c r="BP790" s="158"/>
      <c r="BQ790" s="158"/>
      <c r="BR790" s="158"/>
    </row>
    <row r="791">
      <c r="A791" s="158"/>
      <c r="B791" s="231"/>
      <c r="C791" s="242"/>
      <c r="D791" s="242"/>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c r="AW791" s="158"/>
      <c r="AX791" s="158"/>
      <c r="AY791" s="158"/>
      <c r="AZ791" s="158"/>
      <c r="BA791" s="158"/>
      <c r="BB791" s="158"/>
      <c r="BC791" s="158"/>
      <c r="BD791" s="158"/>
      <c r="BE791" s="158"/>
      <c r="BF791" s="158"/>
      <c r="BG791" s="158"/>
      <c r="BH791" s="158"/>
      <c r="BI791" s="158"/>
      <c r="BJ791" s="158"/>
      <c r="BK791" s="158"/>
      <c r="BL791" s="158"/>
      <c r="BM791" s="158"/>
      <c r="BN791" s="158"/>
      <c r="BO791" s="158"/>
      <c r="BP791" s="158"/>
      <c r="BQ791" s="158"/>
      <c r="BR791" s="158"/>
    </row>
    <row r="792">
      <c r="A792" s="158"/>
      <c r="B792" s="231"/>
      <c r="C792" s="242"/>
      <c r="D792" s="242"/>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c r="AW792" s="158"/>
      <c r="AX792" s="158"/>
      <c r="AY792" s="158"/>
      <c r="AZ792" s="158"/>
      <c r="BA792" s="158"/>
      <c r="BB792" s="158"/>
      <c r="BC792" s="158"/>
      <c r="BD792" s="158"/>
      <c r="BE792" s="158"/>
      <c r="BF792" s="158"/>
      <c r="BG792" s="158"/>
      <c r="BH792" s="158"/>
      <c r="BI792" s="158"/>
      <c r="BJ792" s="158"/>
      <c r="BK792" s="158"/>
      <c r="BL792" s="158"/>
      <c r="BM792" s="158"/>
      <c r="BN792" s="158"/>
      <c r="BO792" s="158"/>
      <c r="BP792" s="158"/>
      <c r="BQ792" s="158"/>
      <c r="BR792" s="158"/>
    </row>
    <row r="793">
      <c r="A793" s="158"/>
      <c r="B793" s="231"/>
      <c r="C793" s="242"/>
      <c r="D793" s="242"/>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c r="AW793" s="158"/>
      <c r="AX793" s="158"/>
      <c r="AY793" s="158"/>
      <c r="AZ793" s="158"/>
      <c r="BA793" s="158"/>
      <c r="BB793" s="158"/>
      <c r="BC793" s="158"/>
      <c r="BD793" s="158"/>
      <c r="BE793" s="158"/>
      <c r="BF793" s="158"/>
      <c r="BG793" s="158"/>
      <c r="BH793" s="158"/>
      <c r="BI793" s="158"/>
      <c r="BJ793" s="158"/>
      <c r="BK793" s="158"/>
      <c r="BL793" s="158"/>
      <c r="BM793" s="158"/>
      <c r="BN793" s="158"/>
      <c r="BO793" s="158"/>
      <c r="BP793" s="158"/>
      <c r="BQ793" s="158"/>
      <c r="BR793" s="158"/>
    </row>
    <row r="794">
      <c r="A794" s="158"/>
      <c r="B794" s="231"/>
      <c r="C794" s="242"/>
      <c r="D794" s="242"/>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c r="AW794" s="158"/>
      <c r="AX794" s="158"/>
      <c r="AY794" s="158"/>
      <c r="AZ794" s="158"/>
      <c r="BA794" s="158"/>
      <c r="BB794" s="158"/>
      <c r="BC794" s="158"/>
      <c r="BD794" s="158"/>
      <c r="BE794" s="158"/>
      <c r="BF794" s="158"/>
      <c r="BG794" s="158"/>
      <c r="BH794" s="158"/>
      <c r="BI794" s="158"/>
      <c r="BJ794" s="158"/>
      <c r="BK794" s="158"/>
      <c r="BL794" s="158"/>
      <c r="BM794" s="158"/>
      <c r="BN794" s="158"/>
      <c r="BO794" s="158"/>
      <c r="BP794" s="158"/>
      <c r="BQ794" s="158"/>
      <c r="BR794" s="158"/>
    </row>
    <row r="795">
      <c r="A795" s="158"/>
      <c r="B795" s="231"/>
      <c r="C795" s="242"/>
      <c r="D795" s="242"/>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c r="AW795" s="158"/>
      <c r="AX795" s="158"/>
      <c r="AY795" s="158"/>
      <c r="AZ795" s="158"/>
      <c r="BA795" s="158"/>
      <c r="BB795" s="158"/>
      <c r="BC795" s="158"/>
      <c r="BD795" s="158"/>
      <c r="BE795" s="158"/>
      <c r="BF795" s="158"/>
      <c r="BG795" s="158"/>
      <c r="BH795" s="158"/>
      <c r="BI795" s="158"/>
      <c r="BJ795" s="158"/>
      <c r="BK795" s="158"/>
      <c r="BL795" s="158"/>
      <c r="BM795" s="158"/>
      <c r="BN795" s="158"/>
      <c r="BO795" s="158"/>
      <c r="BP795" s="158"/>
      <c r="BQ795" s="158"/>
      <c r="BR795" s="158"/>
    </row>
    <row r="796">
      <c r="A796" s="158"/>
      <c r="B796" s="231"/>
      <c r="C796" s="242"/>
      <c r="D796" s="242"/>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c r="AW796" s="158"/>
      <c r="AX796" s="158"/>
      <c r="AY796" s="158"/>
      <c r="AZ796" s="158"/>
      <c r="BA796" s="158"/>
      <c r="BB796" s="158"/>
      <c r="BC796" s="158"/>
      <c r="BD796" s="158"/>
      <c r="BE796" s="158"/>
      <c r="BF796" s="158"/>
      <c r="BG796" s="158"/>
      <c r="BH796" s="158"/>
      <c r="BI796" s="158"/>
      <c r="BJ796" s="158"/>
      <c r="BK796" s="158"/>
      <c r="BL796" s="158"/>
      <c r="BM796" s="158"/>
      <c r="BN796" s="158"/>
      <c r="BO796" s="158"/>
      <c r="BP796" s="158"/>
      <c r="BQ796" s="158"/>
      <c r="BR796" s="158"/>
    </row>
    <row r="797">
      <c r="A797" s="158"/>
      <c r="B797" s="231"/>
      <c r="C797" s="242"/>
      <c r="D797" s="242"/>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c r="AW797" s="158"/>
      <c r="AX797" s="158"/>
      <c r="AY797" s="158"/>
      <c r="AZ797" s="158"/>
      <c r="BA797" s="158"/>
      <c r="BB797" s="158"/>
      <c r="BC797" s="158"/>
      <c r="BD797" s="158"/>
      <c r="BE797" s="158"/>
      <c r="BF797" s="158"/>
      <c r="BG797" s="158"/>
      <c r="BH797" s="158"/>
      <c r="BI797" s="158"/>
      <c r="BJ797" s="158"/>
      <c r="BK797" s="158"/>
      <c r="BL797" s="158"/>
      <c r="BM797" s="158"/>
      <c r="BN797" s="158"/>
      <c r="BO797" s="158"/>
      <c r="BP797" s="158"/>
      <c r="BQ797" s="158"/>
      <c r="BR797" s="158"/>
    </row>
    <row r="798">
      <c r="A798" s="158"/>
      <c r="B798" s="231"/>
      <c r="C798" s="242"/>
      <c r="D798" s="242"/>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c r="AW798" s="158"/>
      <c r="AX798" s="158"/>
      <c r="AY798" s="158"/>
      <c r="AZ798" s="158"/>
      <c r="BA798" s="158"/>
      <c r="BB798" s="158"/>
      <c r="BC798" s="158"/>
      <c r="BD798" s="158"/>
      <c r="BE798" s="158"/>
      <c r="BF798" s="158"/>
      <c r="BG798" s="158"/>
      <c r="BH798" s="158"/>
      <c r="BI798" s="158"/>
      <c r="BJ798" s="158"/>
      <c r="BK798" s="158"/>
      <c r="BL798" s="158"/>
      <c r="BM798" s="158"/>
      <c r="BN798" s="158"/>
      <c r="BO798" s="158"/>
      <c r="BP798" s="158"/>
      <c r="BQ798" s="158"/>
      <c r="BR798" s="158"/>
    </row>
    <row r="799">
      <c r="A799" s="158"/>
      <c r="B799" s="231"/>
      <c r="C799" s="242"/>
      <c r="D799" s="242"/>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c r="AW799" s="158"/>
      <c r="AX799" s="158"/>
      <c r="AY799" s="158"/>
      <c r="AZ799" s="158"/>
      <c r="BA799" s="158"/>
      <c r="BB799" s="158"/>
      <c r="BC799" s="158"/>
      <c r="BD799" s="158"/>
      <c r="BE799" s="158"/>
      <c r="BF799" s="158"/>
      <c r="BG799" s="158"/>
      <c r="BH799" s="158"/>
      <c r="BI799" s="158"/>
      <c r="BJ799" s="158"/>
      <c r="BK799" s="158"/>
      <c r="BL799" s="158"/>
      <c r="BM799" s="158"/>
      <c r="BN799" s="158"/>
      <c r="BO799" s="158"/>
      <c r="BP799" s="158"/>
      <c r="BQ799" s="158"/>
      <c r="BR799" s="158"/>
    </row>
    <row r="800">
      <c r="A800" s="158"/>
      <c r="B800" s="231"/>
      <c r="C800" s="242"/>
      <c r="D800" s="242"/>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c r="AW800" s="158"/>
      <c r="AX800" s="158"/>
      <c r="AY800" s="158"/>
      <c r="AZ800" s="158"/>
      <c r="BA800" s="158"/>
      <c r="BB800" s="158"/>
      <c r="BC800" s="158"/>
      <c r="BD800" s="158"/>
      <c r="BE800" s="158"/>
      <c r="BF800" s="158"/>
      <c r="BG800" s="158"/>
      <c r="BH800" s="158"/>
      <c r="BI800" s="158"/>
      <c r="BJ800" s="158"/>
      <c r="BK800" s="158"/>
      <c r="BL800" s="158"/>
      <c r="BM800" s="158"/>
      <c r="BN800" s="158"/>
      <c r="BO800" s="158"/>
      <c r="BP800" s="158"/>
      <c r="BQ800" s="158"/>
      <c r="BR800" s="158"/>
    </row>
    <row r="801">
      <c r="A801" s="158"/>
      <c r="B801" s="231"/>
      <c r="C801" s="242"/>
      <c r="D801" s="242"/>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c r="AW801" s="158"/>
      <c r="AX801" s="158"/>
      <c r="AY801" s="158"/>
      <c r="AZ801" s="158"/>
      <c r="BA801" s="158"/>
      <c r="BB801" s="158"/>
      <c r="BC801" s="158"/>
      <c r="BD801" s="158"/>
      <c r="BE801" s="158"/>
      <c r="BF801" s="158"/>
      <c r="BG801" s="158"/>
      <c r="BH801" s="158"/>
      <c r="BI801" s="158"/>
      <c r="BJ801" s="158"/>
      <c r="BK801" s="158"/>
      <c r="BL801" s="158"/>
      <c r="BM801" s="158"/>
      <c r="BN801" s="158"/>
      <c r="BO801" s="158"/>
      <c r="BP801" s="158"/>
      <c r="BQ801" s="158"/>
      <c r="BR801" s="158"/>
    </row>
    <row r="802">
      <c r="A802" s="158"/>
      <c r="B802" s="231"/>
      <c r="C802" s="242"/>
      <c r="D802" s="242"/>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c r="AW802" s="158"/>
      <c r="AX802" s="158"/>
      <c r="AY802" s="158"/>
      <c r="AZ802" s="158"/>
      <c r="BA802" s="158"/>
      <c r="BB802" s="158"/>
      <c r="BC802" s="158"/>
      <c r="BD802" s="158"/>
      <c r="BE802" s="158"/>
      <c r="BF802" s="158"/>
      <c r="BG802" s="158"/>
      <c r="BH802" s="158"/>
      <c r="BI802" s="158"/>
      <c r="BJ802" s="158"/>
      <c r="BK802" s="158"/>
      <c r="BL802" s="158"/>
      <c r="BM802" s="158"/>
      <c r="BN802" s="158"/>
      <c r="BO802" s="158"/>
      <c r="BP802" s="158"/>
      <c r="BQ802" s="158"/>
      <c r="BR802" s="158"/>
    </row>
    <row r="803">
      <c r="A803" s="158"/>
      <c r="B803" s="231"/>
      <c r="C803" s="242"/>
      <c r="D803" s="242"/>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c r="AW803" s="158"/>
      <c r="AX803" s="158"/>
      <c r="AY803" s="158"/>
      <c r="AZ803" s="158"/>
      <c r="BA803" s="158"/>
      <c r="BB803" s="158"/>
      <c r="BC803" s="158"/>
      <c r="BD803" s="158"/>
      <c r="BE803" s="158"/>
      <c r="BF803" s="158"/>
      <c r="BG803" s="158"/>
      <c r="BH803" s="158"/>
      <c r="BI803" s="158"/>
      <c r="BJ803" s="158"/>
      <c r="BK803" s="158"/>
      <c r="BL803" s="158"/>
      <c r="BM803" s="158"/>
      <c r="BN803" s="158"/>
      <c r="BO803" s="158"/>
      <c r="BP803" s="158"/>
      <c r="BQ803" s="158"/>
      <c r="BR803" s="158"/>
    </row>
    <row r="804">
      <c r="A804" s="158"/>
      <c r="B804" s="231"/>
      <c r="C804" s="242"/>
      <c r="D804" s="242"/>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c r="AW804" s="158"/>
      <c r="AX804" s="158"/>
      <c r="AY804" s="158"/>
      <c r="AZ804" s="158"/>
      <c r="BA804" s="158"/>
      <c r="BB804" s="158"/>
      <c r="BC804" s="158"/>
      <c r="BD804" s="158"/>
      <c r="BE804" s="158"/>
      <c r="BF804" s="158"/>
      <c r="BG804" s="158"/>
      <c r="BH804" s="158"/>
      <c r="BI804" s="158"/>
      <c r="BJ804" s="158"/>
      <c r="BK804" s="158"/>
      <c r="BL804" s="158"/>
      <c r="BM804" s="158"/>
      <c r="BN804" s="158"/>
      <c r="BO804" s="158"/>
      <c r="BP804" s="158"/>
      <c r="BQ804" s="158"/>
      <c r="BR804" s="158"/>
    </row>
    <row r="805">
      <c r="A805" s="158"/>
      <c r="B805" s="231"/>
      <c r="C805" s="242"/>
      <c r="D805" s="242"/>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c r="AW805" s="158"/>
      <c r="AX805" s="158"/>
      <c r="AY805" s="158"/>
      <c r="AZ805" s="158"/>
      <c r="BA805" s="158"/>
      <c r="BB805" s="158"/>
      <c r="BC805" s="158"/>
      <c r="BD805" s="158"/>
      <c r="BE805" s="158"/>
      <c r="BF805" s="158"/>
      <c r="BG805" s="158"/>
      <c r="BH805" s="158"/>
      <c r="BI805" s="158"/>
      <c r="BJ805" s="158"/>
      <c r="BK805" s="158"/>
      <c r="BL805" s="158"/>
      <c r="BM805" s="158"/>
      <c r="BN805" s="158"/>
      <c r="BO805" s="158"/>
      <c r="BP805" s="158"/>
      <c r="BQ805" s="158"/>
      <c r="BR805" s="158"/>
    </row>
    <row r="806">
      <c r="A806" s="158"/>
      <c r="B806" s="231"/>
      <c r="C806" s="242"/>
      <c r="D806" s="242"/>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c r="AW806" s="158"/>
      <c r="AX806" s="158"/>
      <c r="AY806" s="158"/>
      <c r="AZ806" s="158"/>
      <c r="BA806" s="158"/>
      <c r="BB806" s="158"/>
      <c r="BC806" s="158"/>
      <c r="BD806" s="158"/>
      <c r="BE806" s="158"/>
      <c r="BF806" s="158"/>
      <c r="BG806" s="158"/>
      <c r="BH806" s="158"/>
      <c r="BI806" s="158"/>
      <c r="BJ806" s="158"/>
      <c r="BK806" s="158"/>
      <c r="BL806" s="158"/>
      <c r="BM806" s="158"/>
      <c r="BN806" s="158"/>
      <c r="BO806" s="158"/>
      <c r="BP806" s="158"/>
      <c r="BQ806" s="158"/>
      <c r="BR806" s="158"/>
    </row>
    <row r="807">
      <c r="A807" s="158"/>
      <c r="B807" s="231"/>
      <c r="C807" s="242"/>
      <c r="D807" s="242"/>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c r="AW807" s="158"/>
      <c r="AX807" s="158"/>
      <c r="AY807" s="158"/>
      <c r="AZ807" s="158"/>
      <c r="BA807" s="158"/>
      <c r="BB807" s="158"/>
      <c r="BC807" s="158"/>
      <c r="BD807" s="158"/>
      <c r="BE807" s="158"/>
      <c r="BF807" s="158"/>
      <c r="BG807" s="158"/>
      <c r="BH807" s="158"/>
      <c r="BI807" s="158"/>
      <c r="BJ807" s="158"/>
      <c r="BK807" s="158"/>
      <c r="BL807" s="158"/>
      <c r="BM807" s="158"/>
      <c r="BN807" s="158"/>
      <c r="BO807" s="158"/>
      <c r="BP807" s="158"/>
      <c r="BQ807" s="158"/>
      <c r="BR807" s="158"/>
    </row>
    <row r="808">
      <c r="A808" s="158"/>
      <c r="B808" s="231"/>
      <c r="C808" s="242"/>
      <c r="D808" s="242"/>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c r="AW808" s="158"/>
      <c r="AX808" s="158"/>
      <c r="AY808" s="158"/>
      <c r="AZ808" s="158"/>
      <c r="BA808" s="158"/>
      <c r="BB808" s="158"/>
      <c r="BC808" s="158"/>
      <c r="BD808" s="158"/>
      <c r="BE808" s="158"/>
      <c r="BF808" s="158"/>
      <c r="BG808" s="158"/>
      <c r="BH808" s="158"/>
      <c r="BI808" s="158"/>
      <c r="BJ808" s="158"/>
      <c r="BK808" s="158"/>
      <c r="BL808" s="158"/>
      <c r="BM808" s="158"/>
      <c r="BN808" s="158"/>
      <c r="BO808" s="158"/>
      <c r="BP808" s="158"/>
      <c r="BQ808" s="158"/>
      <c r="BR808" s="158"/>
    </row>
    <row r="809">
      <c r="A809" s="158"/>
      <c r="B809" s="231"/>
      <c r="C809" s="242"/>
      <c r="D809" s="242"/>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c r="AW809" s="158"/>
      <c r="AX809" s="158"/>
      <c r="AY809" s="158"/>
      <c r="AZ809" s="158"/>
      <c r="BA809" s="158"/>
      <c r="BB809" s="158"/>
      <c r="BC809" s="158"/>
      <c r="BD809" s="158"/>
      <c r="BE809" s="158"/>
      <c r="BF809" s="158"/>
      <c r="BG809" s="158"/>
      <c r="BH809" s="158"/>
      <c r="BI809" s="158"/>
      <c r="BJ809" s="158"/>
      <c r="BK809" s="158"/>
      <c r="BL809" s="158"/>
      <c r="BM809" s="158"/>
      <c r="BN809" s="158"/>
      <c r="BO809" s="158"/>
      <c r="BP809" s="158"/>
      <c r="BQ809" s="158"/>
      <c r="BR809" s="158"/>
    </row>
    <row r="810">
      <c r="A810" s="158"/>
      <c r="B810" s="231"/>
      <c r="C810" s="242"/>
      <c r="D810" s="242"/>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c r="AW810" s="158"/>
      <c r="AX810" s="158"/>
      <c r="AY810" s="158"/>
      <c r="AZ810" s="158"/>
      <c r="BA810" s="158"/>
      <c r="BB810" s="158"/>
      <c r="BC810" s="158"/>
      <c r="BD810" s="158"/>
      <c r="BE810" s="158"/>
      <c r="BF810" s="158"/>
      <c r="BG810" s="158"/>
      <c r="BH810" s="158"/>
      <c r="BI810" s="158"/>
      <c r="BJ810" s="158"/>
      <c r="BK810" s="158"/>
      <c r="BL810" s="158"/>
      <c r="BM810" s="158"/>
      <c r="BN810" s="158"/>
      <c r="BO810" s="158"/>
      <c r="BP810" s="158"/>
      <c r="BQ810" s="158"/>
      <c r="BR810" s="158"/>
    </row>
    <row r="811">
      <c r="A811" s="158"/>
      <c r="B811" s="231"/>
      <c r="C811" s="242"/>
      <c r="D811" s="242"/>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c r="AW811" s="158"/>
      <c r="AX811" s="158"/>
      <c r="AY811" s="158"/>
      <c r="AZ811" s="158"/>
      <c r="BA811" s="158"/>
      <c r="BB811" s="158"/>
      <c r="BC811" s="158"/>
      <c r="BD811" s="158"/>
      <c r="BE811" s="158"/>
      <c r="BF811" s="158"/>
      <c r="BG811" s="158"/>
      <c r="BH811" s="158"/>
      <c r="BI811" s="158"/>
      <c r="BJ811" s="158"/>
      <c r="BK811" s="158"/>
      <c r="BL811" s="158"/>
      <c r="BM811" s="158"/>
      <c r="BN811" s="158"/>
      <c r="BO811" s="158"/>
      <c r="BP811" s="158"/>
      <c r="BQ811" s="158"/>
      <c r="BR811" s="158"/>
    </row>
    <row r="812">
      <c r="A812" s="158"/>
      <c r="B812" s="231"/>
      <c r="C812" s="242"/>
      <c r="D812" s="242"/>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c r="AW812" s="158"/>
      <c r="AX812" s="158"/>
      <c r="AY812" s="158"/>
      <c r="AZ812" s="158"/>
      <c r="BA812" s="158"/>
      <c r="BB812" s="158"/>
      <c r="BC812" s="158"/>
      <c r="BD812" s="158"/>
      <c r="BE812" s="158"/>
      <c r="BF812" s="158"/>
      <c r="BG812" s="158"/>
      <c r="BH812" s="158"/>
      <c r="BI812" s="158"/>
      <c r="BJ812" s="158"/>
      <c r="BK812" s="158"/>
      <c r="BL812" s="158"/>
      <c r="BM812" s="158"/>
      <c r="BN812" s="158"/>
      <c r="BO812" s="158"/>
      <c r="BP812" s="158"/>
      <c r="BQ812" s="158"/>
      <c r="BR812" s="158"/>
    </row>
    <row r="813">
      <c r="A813" s="158"/>
      <c r="B813" s="231"/>
      <c r="C813" s="242"/>
      <c r="D813" s="242"/>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c r="AW813" s="158"/>
      <c r="AX813" s="158"/>
      <c r="AY813" s="158"/>
      <c r="AZ813" s="158"/>
      <c r="BA813" s="158"/>
      <c r="BB813" s="158"/>
      <c r="BC813" s="158"/>
      <c r="BD813" s="158"/>
      <c r="BE813" s="158"/>
      <c r="BF813" s="158"/>
      <c r="BG813" s="158"/>
      <c r="BH813" s="158"/>
      <c r="BI813" s="158"/>
      <c r="BJ813" s="158"/>
      <c r="BK813" s="158"/>
      <c r="BL813" s="158"/>
      <c r="BM813" s="158"/>
      <c r="BN813" s="158"/>
      <c r="BO813" s="158"/>
      <c r="BP813" s="158"/>
      <c r="BQ813" s="158"/>
      <c r="BR813" s="158"/>
    </row>
    <row r="814">
      <c r="A814" s="158"/>
      <c r="B814" s="231"/>
      <c r="C814" s="242"/>
      <c r="D814" s="242"/>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c r="AW814" s="158"/>
      <c r="AX814" s="158"/>
      <c r="AY814" s="158"/>
      <c r="AZ814" s="158"/>
      <c r="BA814" s="158"/>
      <c r="BB814" s="158"/>
      <c r="BC814" s="158"/>
      <c r="BD814" s="158"/>
      <c r="BE814" s="158"/>
      <c r="BF814" s="158"/>
      <c r="BG814" s="158"/>
      <c r="BH814" s="158"/>
      <c r="BI814" s="158"/>
      <c r="BJ814" s="158"/>
      <c r="BK814" s="158"/>
      <c r="BL814" s="158"/>
      <c r="BM814" s="158"/>
      <c r="BN814" s="158"/>
      <c r="BO814" s="158"/>
      <c r="BP814" s="158"/>
      <c r="BQ814" s="158"/>
      <c r="BR814" s="158"/>
    </row>
    <row r="815">
      <c r="A815" s="158"/>
      <c r="B815" s="231"/>
      <c r="C815" s="242"/>
      <c r="D815" s="242"/>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c r="AW815" s="158"/>
      <c r="AX815" s="158"/>
      <c r="AY815" s="158"/>
      <c r="AZ815" s="158"/>
      <c r="BA815" s="158"/>
      <c r="BB815" s="158"/>
      <c r="BC815" s="158"/>
      <c r="BD815" s="158"/>
      <c r="BE815" s="158"/>
      <c r="BF815" s="158"/>
      <c r="BG815" s="158"/>
      <c r="BH815" s="158"/>
      <c r="BI815" s="158"/>
      <c r="BJ815" s="158"/>
      <c r="BK815" s="158"/>
      <c r="BL815" s="158"/>
      <c r="BM815" s="158"/>
      <c r="BN815" s="158"/>
      <c r="BO815" s="158"/>
      <c r="BP815" s="158"/>
      <c r="BQ815" s="158"/>
      <c r="BR815" s="158"/>
    </row>
    <row r="816">
      <c r="A816" s="158"/>
      <c r="B816" s="231"/>
      <c r="C816" s="242"/>
      <c r="D816" s="242"/>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c r="AW816" s="158"/>
      <c r="AX816" s="158"/>
      <c r="AY816" s="158"/>
      <c r="AZ816" s="158"/>
      <c r="BA816" s="158"/>
      <c r="BB816" s="158"/>
      <c r="BC816" s="158"/>
      <c r="BD816" s="158"/>
      <c r="BE816" s="158"/>
      <c r="BF816" s="158"/>
      <c r="BG816" s="158"/>
      <c r="BH816" s="158"/>
      <c r="BI816" s="158"/>
      <c r="BJ816" s="158"/>
      <c r="BK816" s="158"/>
      <c r="BL816" s="158"/>
      <c r="BM816" s="158"/>
      <c r="BN816" s="158"/>
      <c r="BO816" s="158"/>
      <c r="BP816" s="158"/>
      <c r="BQ816" s="158"/>
      <c r="BR816" s="158"/>
    </row>
    <row r="817">
      <c r="A817" s="158"/>
      <c r="B817" s="231"/>
      <c r="C817" s="242"/>
      <c r="D817" s="242"/>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c r="AW817" s="158"/>
      <c r="AX817" s="158"/>
      <c r="AY817" s="158"/>
      <c r="AZ817" s="158"/>
      <c r="BA817" s="158"/>
      <c r="BB817" s="158"/>
      <c r="BC817" s="158"/>
      <c r="BD817" s="158"/>
      <c r="BE817" s="158"/>
      <c r="BF817" s="158"/>
      <c r="BG817" s="158"/>
      <c r="BH817" s="158"/>
      <c r="BI817" s="158"/>
      <c r="BJ817" s="158"/>
      <c r="BK817" s="158"/>
      <c r="BL817" s="158"/>
      <c r="BM817" s="158"/>
      <c r="BN817" s="158"/>
      <c r="BO817" s="158"/>
      <c r="BP817" s="158"/>
      <c r="BQ817" s="158"/>
      <c r="BR817" s="158"/>
    </row>
    <row r="818">
      <c r="A818" s="158"/>
      <c r="B818" s="231"/>
      <c r="C818" s="242"/>
      <c r="D818" s="242"/>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c r="AW818" s="158"/>
      <c r="AX818" s="158"/>
      <c r="AY818" s="158"/>
      <c r="AZ818" s="158"/>
      <c r="BA818" s="158"/>
      <c r="BB818" s="158"/>
      <c r="BC818" s="158"/>
      <c r="BD818" s="158"/>
      <c r="BE818" s="158"/>
      <c r="BF818" s="158"/>
      <c r="BG818" s="158"/>
      <c r="BH818" s="158"/>
      <c r="BI818" s="158"/>
      <c r="BJ818" s="158"/>
      <c r="BK818" s="158"/>
      <c r="BL818" s="158"/>
      <c r="BM818" s="158"/>
      <c r="BN818" s="158"/>
      <c r="BO818" s="158"/>
      <c r="BP818" s="158"/>
      <c r="BQ818" s="158"/>
      <c r="BR818" s="158"/>
    </row>
    <row r="819">
      <c r="A819" s="158"/>
      <c r="B819" s="231"/>
      <c r="C819" s="242"/>
      <c r="D819" s="242"/>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c r="AW819" s="158"/>
      <c r="AX819" s="158"/>
      <c r="AY819" s="158"/>
      <c r="AZ819" s="158"/>
      <c r="BA819" s="158"/>
      <c r="BB819" s="158"/>
      <c r="BC819" s="158"/>
      <c r="BD819" s="158"/>
      <c r="BE819" s="158"/>
      <c r="BF819" s="158"/>
      <c r="BG819" s="158"/>
      <c r="BH819" s="158"/>
      <c r="BI819" s="158"/>
      <c r="BJ819" s="158"/>
      <c r="BK819" s="158"/>
      <c r="BL819" s="158"/>
      <c r="BM819" s="158"/>
      <c r="BN819" s="158"/>
      <c r="BO819" s="158"/>
      <c r="BP819" s="158"/>
      <c r="BQ819" s="158"/>
      <c r="BR819" s="158"/>
    </row>
    <row r="820">
      <c r="A820" s="158"/>
      <c r="B820" s="231"/>
      <c r="C820" s="242"/>
      <c r="D820" s="242"/>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c r="AW820" s="158"/>
      <c r="AX820" s="158"/>
      <c r="AY820" s="158"/>
      <c r="AZ820" s="158"/>
      <c r="BA820" s="158"/>
      <c r="BB820" s="158"/>
      <c r="BC820" s="158"/>
      <c r="BD820" s="158"/>
      <c r="BE820" s="158"/>
      <c r="BF820" s="158"/>
      <c r="BG820" s="158"/>
      <c r="BH820" s="158"/>
      <c r="BI820" s="158"/>
      <c r="BJ820" s="158"/>
      <c r="BK820" s="158"/>
      <c r="BL820" s="158"/>
      <c r="BM820" s="158"/>
      <c r="BN820" s="158"/>
      <c r="BO820" s="158"/>
      <c r="BP820" s="158"/>
      <c r="BQ820" s="158"/>
      <c r="BR820" s="158"/>
    </row>
    <row r="821">
      <c r="A821" s="158"/>
      <c r="B821" s="231"/>
      <c r="C821" s="242"/>
      <c r="D821" s="242"/>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c r="AW821" s="158"/>
      <c r="AX821" s="158"/>
      <c r="AY821" s="158"/>
      <c r="AZ821" s="158"/>
      <c r="BA821" s="158"/>
      <c r="BB821" s="158"/>
      <c r="BC821" s="158"/>
      <c r="BD821" s="158"/>
      <c r="BE821" s="158"/>
      <c r="BF821" s="158"/>
      <c r="BG821" s="158"/>
      <c r="BH821" s="158"/>
      <c r="BI821" s="158"/>
      <c r="BJ821" s="158"/>
      <c r="BK821" s="158"/>
      <c r="BL821" s="158"/>
      <c r="BM821" s="158"/>
      <c r="BN821" s="158"/>
      <c r="BO821" s="158"/>
      <c r="BP821" s="158"/>
      <c r="BQ821" s="158"/>
      <c r="BR821" s="158"/>
    </row>
    <row r="822">
      <c r="A822" s="158"/>
      <c r="B822" s="231"/>
      <c r="C822" s="242"/>
      <c r="D822" s="242"/>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c r="AW822" s="158"/>
      <c r="AX822" s="158"/>
      <c r="AY822" s="158"/>
      <c r="AZ822" s="158"/>
      <c r="BA822" s="158"/>
      <c r="BB822" s="158"/>
      <c r="BC822" s="158"/>
      <c r="BD822" s="158"/>
      <c r="BE822" s="158"/>
      <c r="BF822" s="158"/>
      <c r="BG822" s="158"/>
      <c r="BH822" s="158"/>
      <c r="BI822" s="158"/>
      <c r="BJ822" s="158"/>
      <c r="BK822" s="158"/>
      <c r="BL822" s="158"/>
      <c r="BM822" s="158"/>
      <c r="BN822" s="158"/>
      <c r="BO822" s="158"/>
      <c r="BP822" s="158"/>
      <c r="BQ822" s="158"/>
      <c r="BR822" s="158"/>
    </row>
    <row r="823">
      <c r="A823" s="158"/>
      <c r="B823" s="231"/>
      <c r="C823" s="242"/>
      <c r="D823" s="242"/>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c r="AW823" s="158"/>
      <c r="AX823" s="158"/>
      <c r="AY823" s="158"/>
      <c r="AZ823" s="158"/>
      <c r="BA823" s="158"/>
      <c r="BB823" s="158"/>
      <c r="BC823" s="158"/>
      <c r="BD823" s="158"/>
      <c r="BE823" s="158"/>
      <c r="BF823" s="158"/>
      <c r="BG823" s="158"/>
      <c r="BH823" s="158"/>
      <c r="BI823" s="158"/>
      <c r="BJ823" s="158"/>
      <c r="BK823" s="158"/>
      <c r="BL823" s="158"/>
      <c r="BM823" s="158"/>
      <c r="BN823" s="158"/>
      <c r="BO823" s="158"/>
      <c r="BP823" s="158"/>
      <c r="BQ823" s="158"/>
      <c r="BR823" s="158"/>
    </row>
    <row r="824">
      <c r="A824" s="158"/>
      <c r="B824" s="231"/>
      <c r="C824" s="242"/>
      <c r="D824" s="242"/>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c r="AW824" s="158"/>
      <c r="AX824" s="158"/>
      <c r="AY824" s="158"/>
      <c r="AZ824" s="158"/>
      <c r="BA824" s="158"/>
      <c r="BB824" s="158"/>
      <c r="BC824" s="158"/>
      <c r="BD824" s="158"/>
      <c r="BE824" s="158"/>
      <c r="BF824" s="158"/>
      <c r="BG824" s="158"/>
      <c r="BH824" s="158"/>
      <c r="BI824" s="158"/>
      <c r="BJ824" s="158"/>
      <c r="BK824" s="158"/>
      <c r="BL824" s="158"/>
      <c r="BM824" s="158"/>
      <c r="BN824" s="158"/>
      <c r="BO824" s="158"/>
      <c r="BP824" s="158"/>
      <c r="BQ824" s="158"/>
      <c r="BR824" s="158"/>
    </row>
    <row r="825">
      <c r="A825" s="158"/>
      <c r="B825" s="231"/>
      <c r="C825" s="242"/>
      <c r="D825" s="242"/>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c r="AW825" s="158"/>
      <c r="AX825" s="158"/>
      <c r="AY825" s="158"/>
      <c r="AZ825" s="158"/>
      <c r="BA825" s="158"/>
      <c r="BB825" s="158"/>
      <c r="BC825" s="158"/>
      <c r="BD825" s="158"/>
      <c r="BE825" s="158"/>
      <c r="BF825" s="158"/>
      <c r="BG825" s="158"/>
      <c r="BH825" s="158"/>
      <c r="BI825" s="158"/>
      <c r="BJ825" s="158"/>
      <c r="BK825" s="158"/>
      <c r="BL825" s="158"/>
      <c r="BM825" s="158"/>
      <c r="BN825" s="158"/>
      <c r="BO825" s="158"/>
      <c r="BP825" s="158"/>
      <c r="BQ825" s="158"/>
      <c r="BR825" s="158"/>
    </row>
    <row r="826">
      <c r="A826" s="158"/>
      <c r="B826" s="231"/>
      <c r="C826" s="242"/>
      <c r="D826" s="242"/>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c r="AW826" s="158"/>
      <c r="AX826" s="158"/>
      <c r="AY826" s="158"/>
      <c r="AZ826" s="158"/>
      <c r="BA826" s="158"/>
      <c r="BB826" s="158"/>
      <c r="BC826" s="158"/>
      <c r="BD826" s="158"/>
      <c r="BE826" s="158"/>
      <c r="BF826" s="158"/>
      <c r="BG826" s="158"/>
      <c r="BH826" s="158"/>
      <c r="BI826" s="158"/>
      <c r="BJ826" s="158"/>
      <c r="BK826" s="158"/>
      <c r="BL826" s="158"/>
      <c r="BM826" s="158"/>
      <c r="BN826" s="158"/>
      <c r="BO826" s="158"/>
      <c r="BP826" s="158"/>
      <c r="BQ826" s="158"/>
      <c r="BR826" s="158"/>
    </row>
    <row r="827">
      <c r="A827" s="158"/>
      <c r="B827" s="231"/>
      <c r="C827" s="242"/>
      <c r="D827" s="242"/>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c r="AW827" s="158"/>
      <c r="AX827" s="158"/>
      <c r="AY827" s="158"/>
      <c r="AZ827" s="158"/>
      <c r="BA827" s="158"/>
      <c r="BB827" s="158"/>
      <c r="BC827" s="158"/>
      <c r="BD827" s="158"/>
      <c r="BE827" s="158"/>
      <c r="BF827" s="158"/>
      <c r="BG827" s="158"/>
      <c r="BH827" s="158"/>
      <c r="BI827" s="158"/>
      <c r="BJ827" s="158"/>
      <c r="BK827" s="158"/>
      <c r="BL827" s="158"/>
      <c r="BM827" s="158"/>
      <c r="BN827" s="158"/>
      <c r="BO827" s="158"/>
      <c r="BP827" s="158"/>
      <c r="BQ827" s="158"/>
      <c r="BR827" s="158"/>
    </row>
    <row r="828">
      <c r="A828" s="158"/>
      <c r="B828" s="231"/>
      <c r="C828" s="242"/>
      <c r="D828" s="242"/>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c r="AW828" s="158"/>
      <c r="AX828" s="158"/>
      <c r="AY828" s="158"/>
      <c r="AZ828" s="158"/>
      <c r="BA828" s="158"/>
      <c r="BB828" s="158"/>
      <c r="BC828" s="158"/>
      <c r="BD828" s="158"/>
      <c r="BE828" s="158"/>
      <c r="BF828" s="158"/>
      <c r="BG828" s="158"/>
      <c r="BH828" s="158"/>
      <c r="BI828" s="158"/>
      <c r="BJ828" s="158"/>
      <c r="BK828" s="158"/>
      <c r="BL828" s="158"/>
      <c r="BM828" s="158"/>
      <c r="BN828" s="158"/>
      <c r="BO828" s="158"/>
      <c r="BP828" s="158"/>
      <c r="BQ828" s="158"/>
      <c r="BR828" s="158"/>
    </row>
    <row r="829">
      <c r="A829" s="158"/>
      <c r="B829" s="231"/>
      <c r="C829" s="242"/>
      <c r="D829" s="242"/>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c r="AW829" s="158"/>
      <c r="AX829" s="158"/>
      <c r="AY829" s="158"/>
      <c r="AZ829" s="158"/>
      <c r="BA829" s="158"/>
      <c r="BB829" s="158"/>
      <c r="BC829" s="158"/>
      <c r="BD829" s="158"/>
      <c r="BE829" s="158"/>
      <c r="BF829" s="158"/>
      <c r="BG829" s="158"/>
      <c r="BH829" s="158"/>
      <c r="BI829" s="158"/>
      <c r="BJ829" s="158"/>
      <c r="BK829" s="158"/>
      <c r="BL829" s="158"/>
      <c r="BM829" s="158"/>
      <c r="BN829" s="158"/>
      <c r="BO829" s="158"/>
      <c r="BP829" s="158"/>
      <c r="BQ829" s="158"/>
      <c r="BR829" s="158"/>
    </row>
    <row r="830">
      <c r="A830" s="158"/>
      <c r="B830" s="231"/>
      <c r="C830" s="242"/>
      <c r="D830" s="242"/>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c r="AW830" s="158"/>
      <c r="AX830" s="158"/>
      <c r="AY830" s="158"/>
      <c r="AZ830" s="158"/>
      <c r="BA830" s="158"/>
      <c r="BB830" s="158"/>
      <c r="BC830" s="158"/>
      <c r="BD830" s="158"/>
      <c r="BE830" s="158"/>
      <c r="BF830" s="158"/>
      <c r="BG830" s="158"/>
      <c r="BH830" s="158"/>
      <c r="BI830" s="158"/>
      <c r="BJ830" s="158"/>
      <c r="BK830" s="158"/>
      <c r="BL830" s="158"/>
      <c r="BM830" s="158"/>
      <c r="BN830" s="158"/>
      <c r="BO830" s="158"/>
      <c r="BP830" s="158"/>
      <c r="BQ830" s="158"/>
      <c r="BR830" s="158"/>
    </row>
    <row r="831">
      <c r="A831" s="158"/>
      <c r="B831" s="231"/>
      <c r="C831" s="242"/>
      <c r="D831" s="242"/>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c r="AW831" s="158"/>
      <c r="AX831" s="158"/>
      <c r="AY831" s="158"/>
      <c r="AZ831" s="158"/>
      <c r="BA831" s="158"/>
      <c r="BB831" s="158"/>
      <c r="BC831" s="158"/>
      <c r="BD831" s="158"/>
      <c r="BE831" s="158"/>
      <c r="BF831" s="158"/>
      <c r="BG831" s="158"/>
      <c r="BH831" s="158"/>
      <c r="BI831" s="158"/>
      <c r="BJ831" s="158"/>
      <c r="BK831" s="158"/>
      <c r="BL831" s="158"/>
      <c r="BM831" s="158"/>
      <c r="BN831" s="158"/>
      <c r="BO831" s="158"/>
      <c r="BP831" s="158"/>
      <c r="BQ831" s="158"/>
      <c r="BR831" s="158"/>
    </row>
    <row r="832">
      <c r="A832" s="158"/>
      <c r="B832" s="231"/>
      <c r="C832" s="242"/>
      <c r="D832" s="242"/>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c r="AW832" s="158"/>
      <c r="AX832" s="158"/>
      <c r="AY832" s="158"/>
      <c r="AZ832" s="158"/>
      <c r="BA832" s="158"/>
      <c r="BB832" s="158"/>
      <c r="BC832" s="158"/>
      <c r="BD832" s="158"/>
      <c r="BE832" s="158"/>
      <c r="BF832" s="158"/>
      <c r="BG832" s="158"/>
      <c r="BH832" s="158"/>
      <c r="BI832" s="158"/>
      <c r="BJ832" s="158"/>
      <c r="BK832" s="158"/>
      <c r="BL832" s="158"/>
      <c r="BM832" s="158"/>
      <c r="BN832" s="158"/>
      <c r="BO832" s="158"/>
      <c r="BP832" s="158"/>
      <c r="BQ832" s="158"/>
      <c r="BR832" s="158"/>
    </row>
    <row r="833">
      <c r="A833" s="158"/>
      <c r="B833" s="231"/>
      <c r="C833" s="242"/>
      <c r="D833" s="242"/>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c r="AW833" s="158"/>
      <c r="AX833" s="158"/>
      <c r="AY833" s="158"/>
      <c r="AZ833" s="158"/>
      <c r="BA833" s="158"/>
      <c r="BB833" s="158"/>
      <c r="BC833" s="158"/>
      <c r="BD833" s="158"/>
      <c r="BE833" s="158"/>
      <c r="BF833" s="158"/>
      <c r="BG833" s="158"/>
      <c r="BH833" s="158"/>
      <c r="BI833" s="158"/>
      <c r="BJ833" s="158"/>
      <c r="BK833" s="158"/>
      <c r="BL833" s="158"/>
      <c r="BM833" s="158"/>
      <c r="BN833" s="158"/>
      <c r="BO833" s="158"/>
      <c r="BP833" s="158"/>
      <c r="BQ833" s="158"/>
      <c r="BR833" s="158"/>
    </row>
    <row r="834">
      <c r="A834" s="158"/>
      <c r="B834" s="231"/>
      <c r="C834" s="242"/>
      <c r="D834" s="242"/>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c r="AW834" s="158"/>
      <c r="AX834" s="158"/>
      <c r="AY834" s="158"/>
      <c r="AZ834" s="158"/>
      <c r="BA834" s="158"/>
      <c r="BB834" s="158"/>
      <c r="BC834" s="158"/>
      <c r="BD834" s="158"/>
      <c r="BE834" s="158"/>
      <c r="BF834" s="158"/>
      <c r="BG834" s="158"/>
      <c r="BH834" s="158"/>
      <c r="BI834" s="158"/>
      <c r="BJ834" s="158"/>
      <c r="BK834" s="158"/>
      <c r="BL834" s="158"/>
      <c r="BM834" s="158"/>
      <c r="BN834" s="158"/>
      <c r="BO834" s="158"/>
      <c r="BP834" s="158"/>
      <c r="BQ834" s="158"/>
      <c r="BR834" s="158"/>
    </row>
    <row r="835">
      <c r="A835" s="158"/>
      <c r="B835" s="231"/>
      <c r="C835" s="242"/>
      <c r="D835" s="242"/>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c r="AW835" s="158"/>
      <c r="AX835" s="158"/>
      <c r="AY835" s="158"/>
      <c r="AZ835" s="158"/>
      <c r="BA835" s="158"/>
      <c r="BB835" s="158"/>
      <c r="BC835" s="158"/>
      <c r="BD835" s="158"/>
      <c r="BE835" s="158"/>
      <c r="BF835" s="158"/>
      <c r="BG835" s="158"/>
      <c r="BH835" s="158"/>
      <c r="BI835" s="158"/>
      <c r="BJ835" s="158"/>
      <c r="BK835" s="158"/>
      <c r="BL835" s="158"/>
      <c r="BM835" s="158"/>
      <c r="BN835" s="158"/>
      <c r="BO835" s="158"/>
      <c r="BP835" s="158"/>
      <c r="BQ835" s="158"/>
      <c r="BR835" s="158"/>
    </row>
    <row r="836">
      <c r="A836" s="158"/>
      <c r="B836" s="231"/>
      <c r="C836" s="242"/>
      <c r="D836" s="242"/>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c r="AW836" s="158"/>
      <c r="AX836" s="158"/>
      <c r="AY836" s="158"/>
      <c r="AZ836" s="158"/>
      <c r="BA836" s="158"/>
      <c r="BB836" s="158"/>
      <c r="BC836" s="158"/>
      <c r="BD836" s="158"/>
      <c r="BE836" s="158"/>
      <c r="BF836" s="158"/>
      <c r="BG836" s="158"/>
      <c r="BH836" s="158"/>
      <c r="BI836" s="158"/>
      <c r="BJ836" s="158"/>
      <c r="BK836" s="158"/>
      <c r="BL836" s="158"/>
      <c r="BM836" s="158"/>
      <c r="BN836" s="158"/>
      <c r="BO836" s="158"/>
      <c r="BP836" s="158"/>
      <c r="BQ836" s="158"/>
      <c r="BR836" s="158"/>
    </row>
    <row r="837">
      <c r="A837" s="158"/>
      <c r="B837" s="231"/>
      <c r="C837" s="242"/>
      <c r="D837" s="242"/>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c r="AW837" s="158"/>
      <c r="AX837" s="158"/>
      <c r="AY837" s="158"/>
      <c r="AZ837" s="158"/>
      <c r="BA837" s="158"/>
      <c r="BB837" s="158"/>
      <c r="BC837" s="158"/>
      <c r="BD837" s="158"/>
      <c r="BE837" s="158"/>
      <c r="BF837" s="158"/>
      <c r="BG837" s="158"/>
      <c r="BH837" s="158"/>
      <c r="BI837" s="158"/>
      <c r="BJ837" s="158"/>
      <c r="BK837" s="158"/>
      <c r="BL837" s="158"/>
      <c r="BM837" s="158"/>
      <c r="BN837" s="158"/>
      <c r="BO837" s="158"/>
      <c r="BP837" s="158"/>
      <c r="BQ837" s="158"/>
      <c r="BR837" s="158"/>
    </row>
    <row r="838">
      <c r="A838" s="158"/>
      <c r="B838" s="231"/>
      <c r="C838" s="242"/>
      <c r="D838" s="242"/>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c r="AW838" s="158"/>
      <c r="AX838" s="158"/>
      <c r="AY838" s="158"/>
      <c r="AZ838" s="158"/>
      <c r="BA838" s="158"/>
      <c r="BB838" s="158"/>
      <c r="BC838" s="158"/>
      <c r="BD838" s="158"/>
      <c r="BE838" s="158"/>
      <c r="BF838" s="158"/>
      <c r="BG838" s="158"/>
      <c r="BH838" s="158"/>
      <c r="BI838" s="158"/>
      <c r="BJ838" s="158"/>
      <c r="BK838" s="158"/>
      <c r="BL838" s="158"/>
      <c r="BM838" s="158"/>
      <c r="BN838" s="158"/>
      <c r="BO838" s="158"/>
      <c r="BP838" s="158"/>
      <c r="BQ838" s="158"/>
      <c r="BR838" s="158"/>
    </row>
    <row r="839">
      <c r="A839" s="158"/>
      <c r="B839" s="231"/>
      <c r="C839" s="242"/>
      <c r="D839" s="242"/>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c r="AW839" s="158"/>
      <c r="AX839" s="158"/>
      <c r="AY839" s="158"/>
      <c r="AZ839" s="158"/>
      <c r="BA839" s="158"/>
      <c r="BB839" s="158"/>
      <c r="BC839" s="158"/>
      <c r="BD839" s="158"/>
      <c r="BE839" s="158"/>
      <c r="BF839" s="158"/>
      <c r="BG839" s="158"/>
      <c r="BH839" s="158"/>
      <c r="BI839" s="158"/>
      <c r="BJ839" s="158"/>
      <c r="BK839" s="158"/>
      <c r="BL839" s="158"/>
      <c r="BM839" s="158"/>
      <c r="BN839" s="158"/>
      <c r="BO839" s="158"/>
      <c r="BP839" s="158"/>
      <c r="BQ839" s="158"/>
      <c r="BR839" s="158"/>
    </row>
    <row r="840">
      <c r="A840" s="158"/>
      <c r="B840" s="231"/>
      <c r="C840" s="242"/>
      <c r="D840" s="242"/>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c r="AW840" s="158"/>
      <c r="AX840" s="158"/>
      <c r="AY840" s="158"/>
      <c r="AZ840" s="158"/>
      <c r="BA840" s="158"/>
      <c r="BB840" s="158"/>
      <c r="BC840" s="158"/>
      <c r="BD840" s="158"/>
      <c r="BE840" s="158"/>
      <c r="BF840" s="158"/>
      <c r="BG840" s="158"/>
      <c r="BH840" s="158"/>
      <c r="BI840" s="158"/>
      <c r="BJ840" s="158"/>
      <c r="BK840" s="158"/>
      <c r="BL840" s="158"/>
      <c r="BM840" s="158"/>
      <c r="BN840" s="158"/>
      <c r="BO840" s="158"/>
      <c r="BP840" s="158"/>
      <c r="BQ840" s="158"/>
      <c r="BR840" s="158"/>
    </row>
    <row r="841">
      <c r="A841" s="158"/>
      <c r="B841" s="231"/>
      <c r="C841" s="242"/>
      <c r="D841" s="242"/>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c r="AW841" s="158"/>
      <c r="AX841" s="158"/>
      <c r="AY841" s="158"/>
      <c r="AZ841" s="158"/>
      <c r="BA841" s="158"/>
      <c r="BB841" s="158"/>
      <c r="BC841" s="158"/>
      <c r="BD841" s="158"/>
      <c r="BE841" s="158"/>
      <c r="BF841" s="158"/>
      <c r="BG841" s="158"/>
      <c r="BH841" s="158"/>
      <c r="BI841" s="158"/>
      <c r="BJ841" s="158"/>
      <c r="BK841" s="158"/>
      <c r="BL841" s="158"/>
      <c r="BM841" s="158"/>
      <c r="BN841" s="158"/>
      <c r="BO841" s="158"/>
      <c r="BP841" s="158"/>
      <c r="BQ841" s="158"/>
      <c r="BR841" s="158"/>
    </row>
    <row r="842">
      <c r="A842" s="158"/>
      <c r="B842" s="231"/>
      <c r="C842" s="242"/>
      <c r="D842" s="242"/>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c r="AW842" s="158"/>
      <c r="AX842" s="158"/>
      <c r="AY842" s="158"/>
      <c r="AZ842" s="158"/>
      <c r="BA842" s="158"/>
      <c r="BB842" s="158"/>
      <c r="BC842" s="158"/>
      <c r="BD842" s="158"/>
      <c r="BE842" s="158"/>
      <c r="BF842" s="158"/>
      <c r="BG842" s="158"/>
      <c r="BH842" s="158"/>
      <c r="BI842" s="158"/>
      <c r="BJ842" s="158"/>
      <c r="BK842" s="158"/>
      <c r="BL842" s="158"/>
      <c r="BM842" s="158"/>
      <c r="BN842" s="158"/>
      <c r="BO842" s="158"/>
      <c r="BP842" s="158"/>
      <c r="BQ842" s="158"/>
      <c r="BR842" s="158"/>
    </row>
    <row r="843">
      <c r="A843" s="158"/>
      <c r="B843" s="231"/>
      <c r="C843" s="242"/>
      <c r="D843" s="242"/>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c r="AW843" s="158"/>
      <c r="AX843" s="158"/>
      <c r="AY843" s="158"/>
      <c r="AZ843" s="158"/>
      <c r="BA843" s="158"/>
      <c r="BB843" s="158"/>
      <c r="BC843" s="158"/>
      <c r="BD843" s="158"/>
      <c r="BE843" s="158"/>
      <c r="BF843" s="158"/>
      <c r="BG843" s="158"/>
      <c r="BH843" s="158"/>
      <c r="BI843" s="158"/>
      <c r="BJ843" s="158"/>
      <c r="BK843" s="158"/>
      <c r="BL843" s="158"/>
      <c r="BM843" s="158"/>
      <c r="BN843" s="158"/>
      <c r="BO843" s="158"/>
      <c r="BP843" s="158"/>
      <c r="BQ843" s="158"/>
      <c r="BR843" s="158"/>
    </row>
    <row r="844">
      <c r="A844" s="158"/>
      <c r="B844" s="231"/>
      <c r="C844" s="242"/>
      <c r="D844" s="242"/>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c r="AW844" s="158"/>
      <c r="AX844" s="158"/>
      <c r="AY844" s="158"/>
      <c r="AZ844" s="158"/>
      <c r="BA844" s="158"/>
      <c r="BB844" s="158"/>
      <c r="BC844" s="158"/>
      <c r="BD844" s="158"/>
      <c r="BE844" s="158"/>
      <c r="BF844" s="158"/>
      <c r="BG844" s="158"/>
      <c r="BH844" s="158"/>
      <c r="BI844" s="158"/>
      <c r="BJ844" s="158"/>
      <c r="BK844" s="158"/>
      <c r="BL844" s="158"/>
      <c r="BM844" s="158"/>
      <c r="BN844" s="158"/>
      <c r="BO844" s="158"/>
      <c r="BP844" s="158"/>
      <c r="BQ844" s="158"/>
      <c r="BR844" s="158"/>
    </row>
    <row r="845">
      <c r="A845" s="158"/>
      <c r="B845" s="231"/>
      <c r="C845" s="242"/>
      <c r="D845" s="242"/>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c r="AW845" s="158"/>
      <c r="AX845" s="158"/>
      <c r="AY845" s="158"/>
      <c r="AZ845" s="158"/>
      <c r="BA845" s="158"/>
      <c r="BB845" s="158"/>
      <c r="BC845" s="158"/>
      <c r="BD845" s="158"/>
      <c r="BE845" s="158"/>
      <c r="BF845" s="158"/>
      <c r="BG845" s="158"/>
      <c r="BH845" s="158"/>
      <c r="BI845" s="158"/>
      <c r="BJ845" s="158"/>
      <c r="BK845" s="158"/>
      <c r="BL845" s="158"/>
      <c r="BM845" s="158"/>
      <c r="BN845" s="158"/>
      <c r="BO845" s="158"/>
      <c r="BP845" s="158"/>
      <c r="BQ845" s="158"/>
      <c r="BR845" s="158"/>
    </row>
    <row r="846">
      <c r="A846" s="158"/>
      <c r="B846" s="231"/>
      <c r="C846" s="242"/>
      <c r="D846" s="242"/>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c r="BF846" s="158"/>
      <c r="BG846" s="158"/>
      <c r="BH846" s="158"/>
      <c r="BI846" s="158"/>
      <c r="BJ846" s="158"/>
      <c r="BK846" s="158"/>
      <c r="BL846" s="158"/>
      <c r="BM846" s="158"/>
      <c r="BN846" s="158"/>
      <c r="BO846" s="158"/>
      <c r="BP846" s="158"/>
      <c r="BQ846" s="158"/>
      <c r="BR846" s="158"/>
    </row>
    <row r="847">
      <c r="A847" s="158"/>
      <c r="B847" s="231"/>
      <c r="C847" s="242"/>
      <c r="D847" s="242"/>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c r="BF847" s="158"/>
      <c r="BG847" s="158"/>
      <c r="BH847" s="158"/>
      <c r="BI847" s="158"/>
      <c r="BJ847" s="158"/>
      <c r="BK847" s="158"/>
      <c r="BL847" s="158"/>
      <c r="BM847" s="158"/>
      <c r="BN847" s="158"/>
      <c r="BO847" s="158"/>
      <c r="BP847" s="158"/>
      <c r="BQ847" s="158"/>
      <c r="BR847" s="158"/>
    </row>
    <row r="848">
      <c r="A848" s="158"/>
      <c r="B848" s="231"/>
      <c r="C848" s="242"/>
      <c r="D848" s="242"/>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c r="BF848" s="158"/>
      <c r="BG848" s="158"/>
      <c r="BH848" s="158"/>
      <c r="BI848" s="158"/>
      <c r="BJ848" s="158"/>
      <c r="BK848" s="158"/>
      <c r="BL848" s="158"/>
      <c r="BM848" s="158"/>
      <c r="BN848" s="158"/>
      <c r="BO848" s="158"/>
      <c r="BP848" s="158"/>
      <c r="BQ848" s="158"/>
      <c r="BR848" s="158"/>
    </row>
    <row r="849">
      <c r="A849" s="158"/>
      <c r="B849" s="231"/>
      <c r="C849" s="242"/>
      <c r="D849" s="242"/>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c r="BF849" s="158"/>
      <c r="BG849" s="158"/>
      <c r="BH849" s="158"/>
      <c r="BI849" s="158"/>
      <c r="BJ849" s="158"/>
      <c r="BK849" s="158"/>
      <c r="BL849" s="158"/>
      <c r="BM849" s="158"/>
      <c r="BN849" s="158"/>
      <c r="BO849" s="158"/>
      <c r="BP849" s="158"/>
      <c r="BQ849" s="158"/>
      <c r="BR849" s="158"/>
    </row>
    <row r="850">
      <c r="A850" s="158"/>
      <c r="B850" s="231"/>
      <c r="C850" s="242"/>
      <c r="D850" s="242"/>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58"/>
      <c r="BG850" s="158"/>
      <c r="BH850" s="158"/>
      <c r="BI850" s="158"/>
      <c r="BJ850" s="158"/>
      <c r="BK850" s="158"/>
      <c r="BL850" s="158"/>
      <c r="BM850" s="158"/>
      <c r="BN850" s="158"/>
      <c r="BO850" s="158"/>
      <c r="BP850" s="158"/>
      <c r="BQ850" s="158"/>
      <c r="BR850" s="158"/>
    </row>
    <row r="851">
      <c r="A851" s="158"/>
      <c r="B851" s="231"/>
      <c r="C851" s="242"/>
      <c r="D851" s="242"/>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c r="BF851" s="158"/>
      <c r="BG851" s="158"/>
      <c r="BH851" s="158"/>
      <c r="BI851" s="158"/>
      <c r="BJ851" s="158"/>
      <c r="BK851" s="158"/>
      <c r="BL851" s="158"/>
      <c r="BM851" s="158"/>
      <c r="BN851" s="158"/>
      <c r="BO851" s="158"/>
      <c r="BP851" s="158"/>
      <c r="BQ851" s="158"/>
      <c r="BR851" s="158"/>
    </row>
    <row r="852">
      <c r="A852" s="158"/>
      <c r="B852" s="231"/>
      <c r="C852" s="242"/>
      <c r="D852" s="242"/>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c r="BF852" s="158"/>
      <c r="BG852" s="158"/>
      <c r="BH852" s="158"/>
      <c r="BI852" s="158"/>
      <c r="BJ852" s="158"/>
      <c r="BK852" s="158"/>
      <c r="BL852" s="158"/>
      <c r="BM852" s="158"/>
      <c r="BN852" s="158"/>
      <c r="BO852" s="158"/>
      <c r="BP852" s="158"/>
      <c r="BQ852" s="158"/>
      <c r="BR852" s="158"/>
    </row>
    <row r="853">
      <c r="A853" s="158"/>
      <c r="B853" s="231"/>
      <c r="C853" s="242"/>
      <c r="D853" s="242"/>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c r="BF853" s="158"/>
      <c r="BG853" s="158"/>
      <c r="BH853" s="158"/>
      <c r="BI853" s="158"/>
      <c r="BJ853" s="158"/>
      <c r="BK853" s="158"/>
      <c r="BL853" s="158"/>
      <c r="BM853" s="158"/>
      <c r="BN853" s="158"/>
      <c r="BO853" s="158"/>
      <c r="BP853" s="158"/>
      <c r="BQ853" s="158"/>
      <c r="BR853" s="158"/>
    </row>
    <row r="854">
      <c r="A854" s="158"/>
      <c r="B854" s="231"/>
      <c r="C854" s="242"/>
      <c r="D854" s="242"/>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c r="BF854" s="158"/>
      <c r="BG854" s="158"/>
      <c r="BH854" s="158"/>
      <c r="BI854" s="158"/>
      <c r="BJ854" s="158"/>
      <c r="BK854" s="158"/>
      <c r="BL854" s="158"/>
      <c r="BM854" s="158"/>
      <c r="BN854" s="158"/>
      <c r="BO854" s="158"/>
      <c r="BP854" s="158"/>
      <c r="BQ854" s="158"/>
      <c r="BR854" s="158"/>
    </row>
    <row r="855">
      <c r="A855" s="158"/>
      <c r="B855" s="231"/>
      <c r="C855" s="242"/>
      <c r="D855" s="242"/>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c r="BF855" s="158"/>
      <c r="BG855" s="158"/>
      <c r="BH855" s="158"/>
      <c r="BI855" s="158"/>
      <c r="BJ855" s="158"/>
      <c r="BK855" s="158"/>
      <c r="BL855" s="158"/>
      <c r="BM855" s="158"/>
      <c r="BN855" s="158"/>
      <c r="BO855" s="158"/>
      <c r="BP855" s="158"/>
      <c r="BQ855" s="158"/>
      <c r="BR855" s="158"/>
    </row>
    <row r="856">
      <c r="A856" s="158"/>
      <c r="B856" s="231"/>
      <c r="C856" s="242"/>
      <c r="D856" s="242"/>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c r="AW856" s="158"/>
      <c r="AX856" s="158"/>
      <c r="AY856" s="158"/>
      <c r="AZ856" s="158"/>
      <c r="BA856" s="158"/>
      <c r="BB856" s="158"/>
      <c r="BC856" s="158"/>
      <c r="BD856" s="158"/>
      <c r="BE856" s="158"/>
      <c r="BF856" s="158"/>
      <c r="BG856" s="158"/>
      <c r="BH856" s="158"/>
      <c r="BI856" s="158"/>
      <c r="BJ856" s="158"/>
      <c r="BK856" s="158"/>
      <c r="BL856" s="158"/>
      <c r="BM856" s="158"/>
      <c r="BN856" s="158"/>
      <c r="BO856" s="158"/>
      <c r="BP856" s="158"/>
      <c r="BQ856" s="158"/>
      <c r="BR856" s="158"/>
    </row>
    <row r="857">
      <c r="A857" s="158"/>
      <c r="B857" s="231"/>
      <c r="C857" s="242"/>
      <c r="D857" s="242"/>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c r="BF857" s="158"/>
      <c r="BG857" s="158"/>
      <c r="BH857" s="158"/>
      <c r="BI857" s="158"/>
      <c r="BJ857" s="158"/>
      <c r="BK857" s="158"/>
      <c r="BL857" s="158"/>
      <c r="BM857" s="158"/>
      <c r="BN857" s="158"/>
      <c r="BO857" s="158"/>
      <c r="BP857" s="158"/>
      <c r="BQ857" s="158"/>
      <c r="BR857" s="158"/>
    </row>
    <row r="858">
      <c r="A858" s="158"/>
      <c r="B858" s="231"/>
      <c r="C858" s="242"/>
      <c r="D858" s="242"/>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c r="BF858" s="158"/>
      <c r="BG858" s="158"/>
      <c r="BH858" s="158"/>
      <c r="BI858" s="158"/>
      <c r="BJ858" s="158"/>
      <c r="BK858" s="158"/>
      <c r="BL858" s="158"/>
      <c r="BM858" s="158"/>
      <c r="BN858" s="158"/>
      <c r="BO858" s="158"/>
      <c r="BP858" s="158"/>
      <c r="BQ858" s="158"/>
      <c r="BR858" s="158"/>
    </row>
    <row r="859">
      <c r="A859" s="158"/>
      <c r="B859" s="231"/>
      <c r="C859" s="242"/>
      <c r="D859" s="242"/>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c r="BF859" s="158"/>
      <c r="BG859" s="158"/>
      <c r="BH859" s="158"/>
      <c r="BI859" s="158"/>
      <c r="BJ859" s="158"/>
      <c r="BK859" s="158"/>
      <c r="BL859" s="158"/>
      <c r="BM859" s="158"/>
      <c r="BN859" s="158"/>
      <c r="BO859" s="158"/>
      <c r="BP859" s="158"/>
      <c r="BQ859" s="158"/>
      <c r="BR859" s="158"/>
    </row>
    <row r="860">
      <c r="A860" s="158"/>
      <c r="B860" s="231"/>
      <c r="C860" s="242"/>
      <c r="D860" s="242"/>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c r="BF860" s="158"/>
      <c r="BG860" s="158"/>
      <c r="BH860" s="158"/>
      <c r="BI860" s="158"/>
      <c r="BJ860" s="158"/>
      <c r="BK860" s="158"/>
      <c r="BL860" s="158"/>
      <c r="BM860" s="158"/>
      <c r="BN860" s="158"/>
      <c r="BO860" s="158"/>
      <c r="BP860" s="158"/>
      <c r="BQ860" s="158"/>
      <c r="BR860" s="158"/>
    </row>
    <row r="861">
      <c r="A861" s="158"/>
      <c r="B861" s="231"/>
      <c r="C861" s="242"/>
      <c r="D861" s="242"/>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c r="BF861" s="158"/>
      <c r="BG861" s="158"/>
      <c r="BH861" s="158"/>
      <c r="BI861" s="158"/>
      <c r="BJ861" s="158"/>
      <c r="BK861" s="158"/>
      <c r="BL861" s="158"/>
      <c r="BM861" s="158"/>
      <c r="BN861" s="158"/>
      <c r="BO861" s="158"/>
      <c r="BP861" s="158"/>
      <c r="BQ861" s="158"/>
      <c r="BR861" s="158"/>
    </row>
    <row r="862">
      <c r="A862" s="158"/>
      <c r="B862" s="231"/>
      <c r="C862" s="242"/>
      <c r="D862" s="242"/>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c r="BF862" s="158"/>
      <c r="BG862" s="158"/>
      <c r="BH862" s="158"/>
      <c r="BI862" s="158"/>
      <c r="BJ862" s="158"/>
      <c r="BK862" s="158"/>
      <c r="BL862" s="158"/>
      <c r="BM862" s="158"/>
      <c r="BN862" s="158"/>
      <c r="BO862" s="158"/>
      <c r="BP862" s="158"/>
      <c r="BQ862" s="158"/>
      <c r="BR862" s="158"/>
    </row>
    <row r="863">
      <c r="A863" s="158"/>
      <c r="B863" s="231"/>
      <c r="C863" s="242"/>
      <c r="D863" s="242"/>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c r="BF863" s="158"/>
      <c r="BG863" s="158"/>
      <c r="BH863" s="158"/>
      <c r="BI863" s="158"/>
      <c r="BJ863" s="158"/>
      <c r="BK863" s="158"/>
      <c r="BL863" s="158"/>
      <c r="BM863" s="158"/>
      <c r="BN863" s="158"/>
      <c r="BO863" s="158"/>
      <c r="BP863" s="158"/>
      <c r="BQ863" s="158"/>
      <c r="BR863" s="158"/>
    </row>
    <row r="864">
      <c r="A864" s="158"/>
      <c r="B864" s="231"/>
      <c r="C864" s="242"/>
      <c r="D864" s="242"/>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c r="BF864" s="158"/>
      <c r="BG864" s="158"/>
      <c r="BH864" s="158"/>
      <c r="BI864" s="158"/>
      <c r="BJ864" s="158"/>
      <c r="BK864" s="158"/>
      <c r="BL864" s="158"/>
      <c r="BM864" s="158"/>
      <c r="BN864" s="158"/>
      <c r="BO864" s="158"/>
      <c r="BP864" s="158"/>
      <c r="BQ864" s="158"/>
      <c r="BR864" s="158"/>
    </row>
    <row r="865">
      <c r="A865" s="158"/>
      <c r="B865" s="231"/>
      <c r="C865" s="242"/>
      <c r="D865" s="242"/>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c r="BF865" s="158"/>
      <c r="BG865" s="158"/>
      <c r="BH865" s="158"/>
      <c r="BI865" s="158"/>
      <c r="BJ865" s="158"/>
      <c r="BK865" s="158"/>
      <c r="BL865" s="158"/>
      <c r="BM865" s="158"/>
      <c r="BN865" s="158"/>
      <c r="BO865" s="158"/>
      <c r="BP865" s="158"/>
      <c r="BQ865" s="158"/>
      <c r="BR865" s="158"/>
    </row>
    <row r="866">
      <c r="A866" s="158"/>
      <c r="B866" s="231"/>
      <c r="C866" s="242"/>
      <c r="D866" s="242"/>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c r="BF866" s="158"/>
      <c r="BG866" s="158"/>
      <c r="BH866" s="158"/>
      <c r="BI866" s="158"/>
      <c r="BJ866" s="158"/>
      <c r="BK866" s="158"/>
      <c r="BL866" s="158"/>
      <c r="BM866" s="158"/>
      <c r="BN866" s="158"/>
      <c r="BO866" s="158"/>
      <c r="BP866" s="158"/>
      <c r="BQ866" s="158"/>
      <c r="BR866" s="158"/>
    </row>
    <row r="867">
      <c r="A867" s="158"/>
      <c r="B867" s="231"/>
      <c r="C867" s="242"/>
      <c r="D867" s="242"/>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c r="BF867" s="158"/>
      <c r="BG867" s="158"/>
      <c r="BH867" s="158"/>
      <c r="BI867" s="158"/>
      <c r="BJ867" s="158"/>
      <c r="BK867" s="158"/>
      <c r="BL867" s="158"/>
      <c r="BM867" s="158"/>
      <c r="BN867" s="158"/>
      <c r="BO867" s="158"/>
      <c r="BP867" s="158"/>
      <c r="BQ867" s="158"/>
      <c r="BR867" s="158"/>
    </row>
    <row r="868">
      <c r="A868" s="158"/>
      <c r="B868" s="231"/>
      <c r="C868" s="242"/>
      <c r="D868" s="242"/>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c r="BF868" s="158"/>
      <c r="BG868" s="158"/>
      <c r="BH868" s="158"/>
      <c r="BI868" s="158"/>
      <c r="BJ868" s="158"/>
      <c r="BK868" s="158"/>
      <c r="BL868" s="158"/>
      <c r="BM868" s="158"/>
      <c r="BN868" s="158"/>
      <c r="BO868" s="158"/>
      <c r="BP868" s="158"/>
      <c r="BQ868" s="158"/>
      <c r="BR868" s="158"/>
    </row>
    <row r="869">
      <c r="A869" s="158"/>
      <c r="B869" s="231"/>
      <c r="C869" s="242"/>
      <c r="D869" s="242"/>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c r="AW869" s="158"/>
      <c r="AX869" s="158"/>
      <c r="AY869" s="158"/>
      <c r="AZ869" s="158"/>
      <c r="BA869" s="158"/>
      <c r="BB869" s="158"/>
      <c r="BC869" s="158"/>
      <c r="BD869" s="158"/>
      <c r="BE869" s="158"/>
      <c r="BF869" s="158"/>
      <c r="BG869" s="158"/>
      <c r="BH869" s="158"/>
      <c r="BI869" s="158"/>
      <c r="BJ869" s="158"/>
      <c r="BK869" s="158"/>
      <c r="BL869" s="158"/>
      <c r="BM869" s="158"/>
      <c r="BN869" s="158"/>
      <c r="BO869" s="158"/>
      <c r="BP869" s="158"/>
      <c r="BQ869" s="158"/>
      <c r="BR869" s="158"/>
    </row>
    <row r="870">
      <c r="A870" s="158"/>
      <c r="B870" s="231"/>
      <c r="C870" s="242"/>
      <c r="D870" s="242"/>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c r="BF870" s="158"/>
      <c r="BG870" s="158"/>
      <c r="BH870" s="158"/>
      <c r="BI870" s="158"/>
      <c r="BJ870" s="158"/>
      <c r="BK870" s="158"/>
      <c r="BL870" s="158"/>
      <c r="BM870" s="158"/>
      <c r="BN870" s="158"/>
      <c r="BO870" s="158"/>
      <c r="BP870" s="158"/>
      <c r="BQ870" s="158"/>
      <c r="BR870" s="158"/>
    </row>
    <row r="871">
      <c r="A871" s="158"/>
      <c r="B871" s="231"/>
      <c r="C871" s="242"/>
      <c r="D871" s="242"/>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c r="AW871" s="158"/>
      <c r="AX871" s="158"/>
      <c r="AY871" s="158"/>
      <c r="AZ871" s="158"/>
      <c r="BA871" s="158"/>
      <c r="BB871" s="158"/>
      <c r="BC871" s="158"/>
      <c r="BD871" s="158"/>
      <c r="BE871" s="158"/>
      <c r="BF871" s="158"/>
      <c r="BG871" s="158"/>
      <c r="BH871" s="158"/>
      <c r="BI871" s="158"/>
      <c r="BJ871" s="158"/>
      <c r="BK871" s="158"/>
      <c r="BL871" s="158"/>
      <c r="BM871" s="158"/>
      <c r="BN871" s="158"/>
      <c r="BO871" s="158"/>
      <c r="BP871" s="158"/>
      <c r="BQ871" s="158"/>
      <c r="BR871" s="158"/>
    </row>
    <row r="872">
      <c r="A872" s="158"/>
      <c r="B872" s="231"/>
      <c r="C872" s="242"/>
      <c r="D872" s="242"/>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c r="AW872" s="158"/>
      <c r="AX872" s="158"/>
      <c r="AY872" s="158"/>
      <c r="AZ872" s="158"/>
      <c r="BA872" s="158"/>
      <c r="BB872" s="158"/>
      <c r="BC872" s="158"/>
      <c r="BD872" s="158"/>
      <c r="BE872" s="158"/>
      <c r="BF872" s="158"/>
      <c r="BG872" s="158"/>
      <c r="BH872" s="158"/>
      <c r="BI872" s="158"/>
      <c r="BJ872" s="158"/>
      <c r="BK872" s="158"/>
      <c r="BL872" s="158"/>
      <c r="BM872" s="158"/>
      <c r="BN872" s="158"/>
      <c r="BO872" s="158"/>
      <c r="BP872" s="158"/>
      <c r="BQ872" s="158"/>
      <c r="BR872" s="158"/>
    </row>
    <row r="873">
      <c r="A873" s="158"/>
      <c r="B873" s="231"/>
      <c r="C873" s="242"/>
      <c r="D873" s="242"/>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c r="AW873" s="158"/>
      <c r="AX873" s="158"/>
      <c r="AY873" s="158"/>
      <c r="AZ873" s="158"/>
      <c r="BA873" s="158"/>
      <c r="BB873" s="158"/>
      <c r="BC873" s="158"/>
      <c r="BD873" s="158"/>
      <c r="BE873" s="158"/>
      <c r="BF873" s="158"/>
      <c r="BG873" s="158"/>
      <c r="BH873" s="158"/>
      <c r="BI873" s="158"/>
      <c r="BJ873" s="158"/>
      <c r="BK873" s="158"/>
      <c r="BL873" s="158"/>
      <c r="BM873" s="158"/>
      <c r="BN873" s="158"/>
      <c r="BO873" s="158"/>
      <c r="BP873" s="158"/>
      <c r="BQ873" s="158"/>
      <c r="BR873" s="158"/>
    </row>
    <row r="874">
      <c r="A874" s="158"/>
      <c r="B874" s="231"/>
      <c r="C874" s="242"/>
      <c r="D874" s="242"/>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c r="BF874" s="158"/>
      <c r="BG874" s="158"/>
      <c r="BH874" s="158"/>
      <c r="BI874" s="158"/>
      <c r="BJ874" s="158"/>
      <c r="BK874" s="158"/>
      <c r="BL874" s="158"/>
      <c r="BM874" s="158"/>
      <c r="BN874" s="158"/>
      <c r="BO874" s="158"/>
      <c r="BP874" s="158"/>
      <c r="BQ874" s="158"/>
      <c r="BR874" s="158"/>
    </row>
    <row r="875">
      <c r="A875" s="158"/>
      <c r="B875" s="231"/>
      <c r="C875" s="242"/>
      <c r="D875" s="242"/>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c r="AW875" s="158"/>
      <c r="AX875" s="158"/>
      <c r="AY875" s="158"/>
      <c r="AZ875" s="158"/>
      <c r="BA875" s="158"/>
      <c r="BB875" s="158"/>
      <c r="BC875" s="158"/>
      <c r="BD875" s="158"/>
      <c r="BE875" s="158"/>
      <c r="BF875" s="158"/>
      <c r="BG875" s="158"/>
      <c r="BH875" s="158"/>
      <c r="BI875" s="158"/>
      <c r="BJ875" s="158"/>
      <c r="BK875" s="158"/>
      <c r="BL875" s="158"/>
      <c r="BM875" s="158"/>
      <c r="BN875" s="158"/>
      <c r="BO875" s="158"/>
      <c r="BP875" s="158"/>
      <c r="BQ875" s="158"/>
      <c r="BR875" s="158"/>
    </row>
    <row r="876">
      <c r="A876" s="158"/>
      <c r="B876" s="231"/>
      <c r="C876" s="242"/>
      <c r="D876" s="242"/>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c r="AW876" s="158"/>
      <c r="AX876" s="158"/>
      <c r="AY876" s="158"/>
      <c r="AZ876" s="158"/>
      <c r="BA876" s="158"/>
      <c r="BB876" s="158"/>
      <c r="BC876" s="158"/>
      <c r="BD876" s="158"/>
      <c r="BE876" s="158"/>
      <c r="BF876" s="158"/>
      <c r="BG876" s="158"/>
      <c r="BH876" s="158"/>
      <c r="BI876" s="158"/>
      <c r="BJ876" s="158"/>
      <c r="BK876" s="158"/>
      <c r="BL876" s="158"/>
      <c r="BM876" s="158"/>
      <c r="BN876" s="158"/>
      <c r="BO876" s="158"/>
      <c r="BP876" s="158"/>
      <c r="BQ876" s="158"/>
      <c r="BR876" s="158"/>
    </row>
    <row r="877">
      <c r="A877" s="158"/>
      <c r="B877" s="231"/>
      <c r="C877" s="242"/>
      <c r="D877" s="242"/>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c r="AW877" s="158"/>
      <c r="AX877" s="158"/>
      <c r="AY877" s="158"/>
      <c r="AZ877" s="158"/>
      <c r="BA877" s="158"/>
      <c r="BB877" s="158"/>
      <c r="BC877" s="158"/>
      <c r="BD877" s="158"/>
      <c r="BE877" s="158"/>
      <c r="BF877" s="158"/>
      <c r="BG877" s="158"/>
      <c r="BH877" s="158"/>
      <c r="BI877" s="158"/>
      <c r="BJ877" s="158"/>
      <c r="BK877" s="158"/>
      <c r="BL877" s="158"/>
      <c r="BM877" s="158"/>
      <c r="BN877" s="158"/>
      <c r="BO877" s="158"/>
      <c r="BP877" s="158"/>
      <c r="BQ877" s="158"/>
      <c r="BR877" s="158"/>
    </row>
    <row r="878">
      <c r="A878" s="158"/>
      <c r="B878" s="231"/>
      <c r="C878" s="242"/>
      <c r="D878" s="242"/>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c r="AW878" s="158"/>
      <c r="AX878" s="158"/>
      <c r="AY878" s="158"/>
      <c r="AZ878" s="158"/>
      <c r="BA878" s="158"/>
      <c r="BB878" s="158"/>
      <c r="BC878" s="158"/>
      <c r="BD878" s="158"/>
      <c r="BE878" s="158"/>
      <c r="BF878" s="158"/>
      <c r="BG878" s="158"/>
      <c r="BH878" s="158"/>
      <c r="BI878" s="158"/>
      <c r="BJ878" s="158"/>
      <c r="BK878" s="158"/>
      <c r="BL878" s="158"/>
      <c r="BM878" s="158"/>
      <c r="BN878" s="158"/>
      <c r="BO878" s="158"/>
      <c r="BP878" s="158"/>
      <c r="BQ878" s="158"/>
      <c r="BR878" s="158"/>
    </row>
    <row r="879">
      <c r="A879" s="158"/>
      <c r="B879" s="231"/>
      <c r="C879" s="242"/>
      <c r="D879" s="242"/>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c r="AW879" s="158"/>
      <c r="AX879" s="158"/>
      <c r="AY879" s="158"/>
      <c r="AZ879" s="158"/>
      <c r="BA879" s="158"/>
      <c r="BB879" s="158"/>
      <c r="BC879" s="158"/>
      <c r="BD879" s="158"/>
      <c r="BE879" s="158"/>
      <c r="BF879" s="158"/>
      <c r="BG879" s="158"/>
      <c r="BH879" s="158"/>
      <c r="BI879" s="158"/>
      <c r="BJ879" s="158"/>
      <c r="BK879" s="158"/>
      <c r="BL879" s="158"/>
      <c r="BM879" s="158"/>
      <c r="BN879" s="158"/>
      <c r="BO879" s="158"/>
      <c r="BP879" s="158"/>
      <c r="BQ879" s="158"/>
      <c r="BR879" s="158"/>
    </row>
    <row r="880">
      <c r="A880" s="158"/>
      <c r="B880" s="231"/>
      <c r="C880" s="242"/>
      <c r="D880" s="242"/>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c r="AW880" s="158"/>
      <c r="AX880" s="158"/>
      <c r="AY880" s="158"/>
      <c r="AZ880" s="158"/>
      <c r="BA880" s="158"/>
      <c r="BB880" s="158"/>
      <c r="BC880" s="158"/>
      <c r="BD880" s="158"/>
      <c r="BE880" s="158"/>
      <c r="BF880" s="158"/>
      <c r="BG880" s="158"/>
      <c r="BH880" s="158"/>
      <c r="BI880" s="158"/>
      <c r="BJ880" s="158"/>
      <c r="BK880" s="158"/>
      <c r="BL880" s="158"/>
      <c r="BM880" s="158"/>
      <c r="BN880" s="158"/>
      <c r="BO880" s="158"/>
      <c r="BP880" s="158"/>
      <c r="BQ880" s="158"/>
      <c r="BR880" s="158"/>
    </row>
    <row r="881">
      <c r="A881" s="158"/>
      <c r="B881" s="231"/>
      <c r="C881" s="242"/>
      <c r="D881" s="242"/>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c r="AW881" s="158"/>
      <c r="AX881" s="158"/>
      <c r="AY881" s="158"/>
      <c r="AZ881" s="158"/>
      <c r="BA881" s="158"/>
      <c r="BB881" s="158"/>
      <c r="BC881" s="158"/>
      <c r="BD881" s="158"/>
      <c r="BE881" s="158"/>
      <c r="BF881" s="158"/>
      <c r="BG881" s="158"/>
      <c r="BH881" s="158"/>
      <c r="BI881" s="158"/>
      <c r="BJ881" s="158"/>
      <c r="BK881" s="158"/>
      <c r="BL881" s="158"/>
      <c r="BM881" s="158"/>
      <c r="BN881" s="158"/>
      <c r="BO881" s="158"/>
      <c r="BP881" s="158"/>
      <c r="BQ881" s="158"/>
      <c r="BR881" s="158"/>
    </row>
    <row r="882">
      <c r="A882" s="158"/>
      <c r="B882" s="231"/>
      <c r="C882" s="242"/>
      <c r="D882" s="242"/>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c r="AW882" s="158"/>
      <c r="AX882" s="158"/>
      <c r="AY882" s="158"/>
      <c r="AZ882" s="158"/>
      <c r="BA882" s="158"/>
      <c r="BB882" s="158"/>
      <c r="BC882" s="158"/>
      <c r="BD882" s="158"/>
      <c r="BE882" s="158"/>
      <c r="BF882" s="158"/>
      <c r="BG882" s="158"/>
      <c r="BH882" s="158"/>
      <c r="BI882" s="158"/>
      <c r="BJ882" s="158"/>
      <c r="BK882" s="158"/>
      <c r="BL882" s="158"/>
      <c r="BM882" s="158"/>
      <c r="BN882" s="158"/>
      <c r="BO882" s="158"/>
      <c r="BP882" s="158"/>
      <c r="BQ882" s="158"/>
      <c r="BR882" s="158"/>
    </row>
    <row r="883">
      <c r="A883" s="158"/>
      <c r="B883" s="231"/>
      <c r="C883" s="242"/>
      <c r="D883" s="242"/>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c r="AW883" s="158"/>
      <c r="AX883" s="158"/>
      <c r="AY883" s="158"/>
      <c r="AZ883" s="158"/>
      <c r="BA883" s="158"/>
      <c r="BB883" s="158"/>
      <c r="BC883" s="158"/>
      <c r="BD883" s="158"/>
      <c r="BE883" s="158"/>
      <c r="BF883" s="158"/>
      <c r="BG883" s="158"/>
      <c r="BH883" s="158"/>
      <c r="BI883" s="158"/>
      <c r="BJ883" s="158"/>
      <c r="BK883" s="158"/>
      <c r="BL883" s="158"/>
      <c r="BM883" s="158"/>
      <c r="BN883" s="158"/>
      <c r="BO883" s="158"/>
      <c r="BP883" s="158"/>
      <c r="BQ883" s="158"/>
      <c r="BR883" s="158"/>
    </row>
    <row r="884">
      <c r="A884" s="158"/>
      <c r="B884" s="231"/>
      <c r="C884" s="242"/>
      <c r="D884" s="242"/>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c r="AW884" s="158"/>
      <c r="AX884" s="158"/>
      <c r="AY884" s="158"/>
      <c r="AZ884" s="158"/>
      <c r="BA884" s="158"/>
      <c r="BB884" s="158"/>
      <c r="BC884" s="158"/>
      <c r="BD884" s="158"/>
      <c r="BE884" s="158"/>
      <c r="BF884" s="158"/>
      <c r="BG884" s="158"/>
      <c r="BH884" s="158"/>
      <c r="BI884" s="158"/>
      <c r="BJ884" s="158"/>
      <c r="BK884" s="158"/>
      <c r="BL884" s="158"/>
      <c r="BM884" s="158"/>
      <c r="BN884" s="158"/>
      <c r="BO884" s="158"/>
      <c r="BP884" s="158"/>
      <c r="BQ884" s="158"/>
      <c r="BR884" s="158"/>
    </row>
    <row r="885">
      <c r="A885" s="158"/>
      <c r="B885" s="231"/>
      <c r="C885" s="242"/>
      <c r="D885" s="242"/>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c r="AW885" s="158"/>
      <c r="AX885" s="158"/>
      <c r="AY885" s="158"/>
      <c r="AZ885" s="158"/>
      <c r="BA885" s="158"/>
      <c r="BB885" s="158"/>
      <c r="BC885" s="158"/>
      <c r="BD885" s="158"/>
      <c r="BE885" s="158"/>
      <c r="BF885" s="158"/>
      <c r="BG885" s="158"/>
      <c r="BH885" s="158"/>
      <c r="BI885" s="158"/>
      <c r="BJ885" s="158"/>
      <c r="BK885" s="158"/>
      <c r="BL885" s="158"/>
      <c r="BM885" s="158"/>
      <c r="BN885" s="158"/>
      <c r="BO885" s="158"/>
      <c r="BP885" s="158"/>
      <c r="BQ885" s="158"/>
      <c r="BR885" s="158"/>
    </row>
    <row r="886">
      <c r="A886" s="158"/>
      <c r="B886" s="231"/>
      <c r="C886" s="242"/>
      <c r="D886" s="242"/>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c r="AW886" s="158"/>
      <c r="AX886" s="158"/>
      <c r="AY886" s="158"/>
      <c r="AZ886" s="158"/>
      <c r="BA886" s="158"/>
      <c r="BB886" s="158"/>
      <c r="BC886" s="158"/>
      <c r="BD886" s="158"/>
      <c r="BE886" s="158"/>
      <c r="BF886" s="158"/>
      <c r="BG886" s="158"/>
      <c r="BH886" s="158"/>
      <c r="BI886" s="158"/>
      <c r="BJ886" s="158"/>
      <c r="BK886" s="158"/>
      <c r="BL886" s="158"/>
      <c r="BM886" s="158"/>
      <c r="BN886" s="158"/>
      <c r="BO886" s="158"/>
      <c r="BP886" s="158"/>
      <c r="BQ886" s="158"/>
      <c r="BR886" s="158"/>
    </row>
    <row r="887">
      <c r="A887" s="158"/>
      <c r="B887" s="231"/>
      <c r="C887" s="242"/>
      <c r="D887" s="242"/>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c r="AW887" s="158"/>
      <c r="AX887" s="158"/>
      <c r="AY887" s="158"/>
      <c r="AZ887" s="158"/>
      <c r="BA887" s="158"/>
      <c r="BB887" s="158"/>
      <c r="BC887" s="158"/>
      <c r="BD887" s="158"/>
      <c r="BE887" s="158"/>
      <c r="BF887" s="158"/>
      <c r="BG887" s="158"/>
      <c r="BH887" s="158"/>
      <c r="BI887" s="158"/>
      <c r="BJ887" s="158"/>
      <c r="BK887" s="158"/>
      <c r="BL887" s="158"/>
      <c r="BM887" s="158"/>
      <c r="BN887" s="158"/>
      <c r="BO887" s="158"/>
      <c r="BP887" s="158"/>
      <c r="BQ887" s="158"/>
      <c r="BR887" s="158"/>
    </row>
    <row r="888">
      <c r="A888" s="158"/>
      <c r="B888" s="231"/>
      <c r="C888" s="242"/>
      <c r="D888" s="242"/>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c r="AW888" s="158"/>
      <c r="AX888" s="158"/>
      <c r="AY888" s="158"/>
      <c r="AZ888" s="158"/>
      <c r="BA888" s="158"/>
      <c r="BB888" s="158"/>
      <c r="BC888" s="158"/>
      <c r="BD888" s="158"/>
      <c r="BE888" s="158"/>
      <c r="BF888" s="158"/>
      <c r="BG888" s="158"/>
      <c r="BH888" s="158"/>
      <c r="BI888" s="158"/>
      <c r="BJ888" s="158"/>
      <c r="BK888" s="158"/>
      <c r="BL888" s="158"/>
      <c r="BM888" s="158"/>
      <c r="BN888" s="158"/>
      <c r="BO888" s="158"/>
      <c r="BP888" s="158"/>
      <c r="BQ888" s="158"/>
      <c r="BR888" s="158"/>
    </row>
    <row r="889">
      <c r="A889" s="158"/>
      <c r="B889" s="231"/>
      <c r="C889" s="242"/>
      <c r="D889" s="242"/>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c r="AW889" s="158"/>
      <c r="AX889" s="158"/>
      <c r="AY889" s="158"/>
      <c r="AZ889" s="158"/>
      <c r="BA889" s="158"/>
      <c r="BB889" s="158"/>
      <c r="BC889" s="158"/>
      <c r="BD889" s="158"/>
      <c r="BE889" s="158"/>
      <c r="BF889" s="158"/>
      <c r="BG889" s="158"/>
      <c r="BH889" s="158"/>
      <c r="BI889" s="158"/>
      <c r="BJ889" s="158"/>
      <c r="BK889" s="158"/>
      <c r="BL889" s="158"/>
      <c r="BM889" s="158"/>
      <c r="BN889" s="158"/>
      <c r="BO889" s="158"/>
      <c r="BP889" s="158"/>
      <c r="BQ889" s="158"/>
      <c r="BR889" s="158"/>
    </row>
    <row r="890">
      <c r="A890" s="158"/>
      <c r="B890" s="231"/>
      <c r="C890" s="242"/>
      <c r="D890" s="242"/>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c r="AW890" s="158"/>
      <c r="AX890" s="158"/>
      <c r="AY890" s="158"/>
      <c r="AZ890" s="158"/>
      <c r="BA890" s="158"/>
      <c r="BB890" s="158"/>
      <c r="BC890" s="158"/>
      <c r="BD890" s="158"/>
      <c r="BE890" s="158"/>
      <c r="BF890" s="158"/>
      <c r="BG890" s="158"/>
      <c r="BH890" s="158"/>
      <c r="BI890" s="158"/>
      <c r="BJ890" s="158"/>
      <c r="BK890" s="158"/>
      <c r="BL890" s="158"/>
      <c r="BM890" s="158"/>
      <c r="BN890" s="158"/>
      <c r="BO890" s="158"/>
      <c r="BP890" s="158"/>
      <c r="BQ890" s="158"/>
      <c r="BR890" s="158"/>
    </row>
    <row r="891">
      <c r="A891" s="158"/>
      <c r="B891" s="231"/>
      <c r="C891" s="242"/>
      <c r="D891" s="242"/>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c r="AW891" s="158"/>
      <c r="AX891" s="158"/>
      <c r="AY891" s="158"/>
      <c r="AZ891" s="158"/>
      <c r="BA891" s="158"/>
      <c r="BB891" s="158"/>
      <c r="BC891" s="158"/>
      <c r="BD891" s="158"/>
      <c r="BE891" s="158"/>
      <c r="BF891" s="158"/>
      <c r="BG891" s="158"/>
      <c r="BH891" s="158"/>
      <c r="BI891" s="158"/>
      <c r="BJ891" s="158"/>
      <c r="BK891" s="158"/>
      <c r="BL891" s="158"/>
      <c r="BM891" s="158"/>
      <c r="BN891" s="158"/>
      <c r="BO891" s="158"/>
      <c r="BP891" s="158"/>
      <c r="BQ891" s="158"/>
      <c r="BR891" s="158"/>
    </row>
    <row r="892">
      <c r="A892" s="158"/>
      <c r="B892" s="231"/>
      <c r="C892" s="242"/>
      <c r="D892" s="242"/>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c r="AW892" s="158"/>
      <c r="AX892" s="158"/>
      <c r="AY892" s="158"/>
      <c r="AZ892" s="158"/>
      <c r="BA892" s="158"/>
      <c r="BB892" s="158"/>
      <c r="BC892" s="158"/>
      <c r="BD892" s="158"/>
      <c r="BE892" s="158"/>
      <c r="BF892" s="158"/>
      <c r="BG892" s="158"/>
      <c r="BH892" s="158"/>
      <c r="BI892" s="158"/>
      <c r="BJ892" s="158"/>
      <c r="BK892" s="158"/>
      <c r="BL892" s="158"/>
      <c r="BM892" s="158"/>
      <c r="BN892" s="158"/>
      <c r="BO892" s="158"/>
      <c r="BP892" s="158"/>
      <c r="BQ892" s="158"/>
      <c r="BR892" s="158"/>
    </row>
    <row r="893">
      <c r="A893" s="158"/>
      <c r="B893" s="231"/>
      <c r="C893" s="242"/>
      <c r="D893" s="242"/>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c r="AW893" s="158"/>
      <c r="AX893" s="158"/>
      <c r="AY893" s="158"/>
      <c r="AZ893" s="158"/>
      <c r="BA893" s="158"/>
      <c r="BB893" s="158"/>
      <c r="BC893" s="158"/>
      <c r="BD893" s="158"/>
      <c r="BE893" s="158"/>
      <c r="BF893" s="158"/>
      <c r="BG893" s="158"/>
      <c r="BH893" s="158"/>
      <c r="BI893" s="158"/>
      <c r="BJ893" s="158"/>
      <c r="BK893" s="158"/>
      <c r="BL893" s="158"/>
      <c r="BM893" s="158"/>
      <c r="BN893" s="158"/>
      <c r="BO893" s="158"/>
      <c r="BP893" s="158"/>
      <c r="BQ893" s="158"/>
      <c r="BR893" s="158"/>
    </row>
    <row r="894">
      <c r="A894" s="158"/>
      <c r="B894" s="231"/>
      <c r="C894" s="242"/>
      <c r="D894" s="242"/>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c r="AW894" s="158"/>
      <c r="AX894" s="158"/>
      <c r="AY894" s="158"/>
      <c r="AZ894" s="158"/>
      <c r="BA894" s="158"/>
      <c r="BB894" s="158"/>
      <c r="BC894" s="158"/>
      <c r="BD894" s="158"/>
      <c r="BE894" s="158"/>
      <c r="BF894" s="158"/>
      <c r="BG894" s="158"/>
      <c r="BH894" s="158"/>
      <c r="BI894" s="158"/>
      <c r="BJ894" s="158"/>
      <c r="BK894" s="158"/>
      <c r="BL894" s="158"/>
      <c r="BM894" s="158"/>
      <c r="BN894" s="158"/>
      <c r="BO894" s="158"/>
      <c r="BP894" s="158"/>
      <c r="BQ894" s="158"/>
      <c r="BR894" s="158"/>
    </row>
    <row r="895">
      <c r="A895" s="158"/>
      <c r="B895" s="231"/>
      <c r="C895" s="242"/>
      <c r="D895" s="242"/>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c r="BF895" s="158"/>
      <c r="BG895" s="158"/>
      <c r="BH895" s="158"/>
      <c r="BI895" s="158"/>
      <c r="BJ895" s="158"/>
      <c r="BK895" s="158"/>
      <c r="BL895" s="158"/>
      <c r="BM895" s="158"/>
      <c r="BN895" s="158"/>
      <c r="BO895" s="158"/>
      <c r="BP895" s="158"/>
      <c r="BQ895" s="158"/>
      <c r="BR895" s="158"/>
    </row>
    <row r="896">
      <c r="A896" s="158"/>
      <c r="B896" s="231"/>
      <c r="C896" s="242"/>
      <c r="D896" s="242"/>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c r="BF896" s="158"/>
      <c r="BG896" s="158"/>
      <c r="BH896" s="158"/>
      <c r="BI896" s="158"/>
      <c r="BJ896" s="158"/>
      <c r="BK896" s="158"/>
      <c r="BL896" s="158"/>
      <c r="BM896" s="158"/>
      <c r="BN896" s="158"/>
      <c r="BO896" s="158"/>
      <c r="BP896" s="158"/>
      <c r="BQ896" s="158"/>
      <c r="BR896" s="158"/>
    </row>
    <row r="897">
      <c r="A897" s="158"/>
      <c r="B897" s="231"/>
      <c r="C897" s="242"/>
      <c r="D897" s="242"/>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c r="BF897" s="158"/>
      <c r="BG897" s="158"/>
      <c r="BH897" s="158"/>
      <c r="BI897" s="158"/>
      <c r="BJ897" s="158"/>
      <c r="BK897" s="158"/>
      <c r="BL897" s="158"/>
      <c r="BM897" s="158"/>
      <c r="BN897" s="158"/>
      <c r="BO897" s="158"/>
      <c r="BP897" s="158"/>
      <c r="BQ897" s="158"/>
      <c r="BR897" s="158"/>
    </row>
    <row r="898">
      <c r="A898" s="158"/>
      <c r="B898" s="231"/>
      <c r="C898" s="242"/>
      <c r="D898" s="242"/>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c r="BF898" s="158"/>
      <c r="BG898" s="158"/>
      <c r="BH898" s="158"/>
      <c r="BI898" s="158"/>
      <c r="BJ898" s="158"/>
      <c r="BK898" s="158"/>
      <c r="BL898" s="158"/>
      <c r="BM898" s="158"/>
      <c r="BN898" s="158"/>
      <c r="BO898" s="158"/>
      <c r="BP898" s="158"/>
      <c r="BQ898" s="158"/>
      <c r="BR898" s="158"/>
    </row>
    <row r="899">
      <c r="A899" s="158"/>
      <c r="B899" s="231"/>
      <c r="C899" s="242"/>
      <c r="D899" s="242"/>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c r="BF899" s="158"/>
      <c r="BG899" s="158"/>
      <c r="BH899" s="158"/>
      <c r="BI899" s="158"/>
      <c r="BJ899" s="158"/>
      <c r="BK899" s="158"/>
      <c r="BL899" s="158"/>
      <c r="BM899" s="158"/>
      <c r="BN899" s="158"/>
      <c r="BO899" s="158"/>
      <c r="BP899" s="158"/>
      <c r="BQ899" s="158"/>
      <c r="BR899" s="158"/>
    </row>
    <row r="900">
      <c r="A900" s="158"/>
      <c r="B900" s="231"/>
      <c r="C900" s="242"/>
      <c r="D900" s="242"/>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c r="BF900" s="158"/>
      <c r="BG900" s="158"/>
      <c r="BH900" s="158"/>
      <c r="BI900" s="158"/>
      <c r="BJ900" s="158"/>
      <c r="BK900" s="158"/>
      <c r="BL900" s="158"/>
      <c r="BM900" s="158"/>
      <c r="BN900" s="158"/>
      <c r="BO900" s="158"/>
      <c r="BP900" s="158"/>
      <c r="BQ900" s="158"/>
      <c r="BR900" s="158"/>
    </row>
    <row r="901">
      <c r="A901" s="158"/>
      <c r="B901" s="231"/>
      <c r="C901" s="242"/>
      <c r="D901" s="242"/>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c r="BF901" s="158"/>
      <c r="BG901" s="158"/>
      <c r="BH901" s="158"/>
      <c r="BI901" s="158"/>
      <c r="BJ901" s="158"/>
      <c r="BK901" s="158"/>
      <c r="BL901" s="158"/>
      <c r="BM901" s="158"/>
      <c r="BN901" s="158"/>
      <c r="BO901" s="158"/>
      <c r="BP901" s="158"/>
      <c r="BQ901" s="158"/>
      <c r="BR901" s="158"/>
    </row>
    <row r="902">
      <c r="A902" s="158"/>
      <c r="B902" s="231"/>
      <c r="C902" s="242"/>
      <c r="D902" s="242"/>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c r="BF902" s="158"/>
      <c r="BG902" s="158"/>
      <c r="BH902" s="158"/>
      <c r="BI902" s="158"/>
      <c r="BJ902" s="158"/>
      <c r="BK902" s="158"/>
      <c r="BL902" s="158"/>
      <c r="BM902" s="158"/>
      <c r="BN902" s="158"/>
      <c r="BO902" s="158"/>
      <c r="BP902" s="158"/>
      <c r="BQ902" s="158"/>
      <c r="BR902" s="158"/>
    </row>
    <row r="903">
      <c r="A903" s="158"/>
      <c r="B903" s="231"/>
      <c r="C903" s="242"/>
      <c r="D903" s="242"/>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c r="BF903" s="158"/>
      <c r="BG903" s="158"/>
      <c r="BH903" s="158"/>
      <c r="BI903" s="158"/>
      <c r="BJ903" s="158"/>
      <c r="BK903" s="158"/>
      <c r="BL903" s="158"/>
      <c r="BM903" s="158"/>
      <c r="BN903" s="158"/>
      <c r="BO903" s="158"/>
      <c r="BP903" s="158"/>
      <c r="BQ903" s="158"/>
      <c r="BR903" s="158"/>
    </row>
    <row r="904">
      <c r="A904" s="158"/>
      <c r="B904" s="231"/>
      <c r="C904" s="242"/>
      <c r="D904" s="242"/>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c r="BF904" s="158"/>
      <c r="BG904" s="158"/>
      <c r="BH904" s="158"/>
      <c r="BI904" s="158"/>
      <c r="BJ904" s="158"/>
      <c r="BK904" s="158"/>
      <c r="BL904" s="158"/>
      <c r="BM904" s="158"/>
      <c r="BN904" s="158"/>
      <c r="BO904" s="158"/>
      <c r="BP904" s="158"/>
      <c r="BQ904" s="158"/>
      <c r="BR904" s="158"/>
    </row>
    <row r="905">
      <c r="A905" s="158"/>
      <c r="B905" s="231"/>
      <c r="C905" s="242"/>
      <c r="D905" s="242"/>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c r="BF905" s="158"/>
      <c r="BG905" s="158"/>
      <c r="BH905" s="158"/>
      <c r="BI905" s="158"/>
      <c r="BJ905" s="158"/>
      <c r="BK905" s="158"/>
      <c r="BL905" s="158"/>
      <c r="BM905" s="158"/>
      <c r="BN905" s="158"/>
      <c r="BO905" s="158"/>
      <c r="BP905" s="158"/>
      <c r="BQ905" s="158"/>
      <c r="BR905" s="158"/>
    </row>
    <row r="906">
      <c r="A906" s="158"/>
      <c r="B906" s="231"/>
      <c r="C906" s="242"/>
      <c r="D906" s="242"/>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c r="BF906" s="158"/>
      <c r="BG906" s="158"/>
      <c r="BH906" s="158"/>
      <c r="BI906" s="158"/>
      <c r="BJ906" s="158"/>
      <c r="BK906" s="158"/>
      <c r="BL906" s="158"/>
      <c r="BM906" s="158"/>
      <c r="BN906" s="158"/>
      <c r="BO906" s="158"/>
      <c r="BP906" s="158"/>
      <c r="BQ906" s="158"/>
      <c r="BR906" s="158"/>
    </row>
    <row r="907">
      <c r="A907" s="158"/>
      <c r="B907" s="231"/>
      <c r="C907" s="242"/>
      <c r="D907" s="242"/>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c r="BF907" s="158"/>
      <c r="BG907" s="158"/>
      <c r="BH907" s="158"/>
      <c r="BI907" s="158"/>
      <c r="BJ907" s="158"/>
      <c r="BK907" s="158"/>
      <c r="BL907" s="158"/>
      <c r="BM907" s="158"/>
      <c r="BN907" s="158"/>
      <c r="BO907" s="158"/>
      <c r="BP907" s="158"/>
      <c r="BQ907" s="158"/>
      <c r="BR907" s="158"/>
    </row>
    <row r="908">
      <c r="A908" s="158"/>
      <c r="B908" s="231"/>
      <c r="C908" s="242"/>
      <c r="D908" s="242"/>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c r="BF908" s="158"/>
      <c r="BG908" s="158"/>
      <c r="BH908" s="158"/>
      <c r="BI908" s="158"/>
      <c r="BJ908" s="158"/>
      <c r="BK908" s="158"/>
      <c r="BL908" s="158"/>
      <c r="BM908" s="158"/>
      <c r="BN908" s="158"/>
      <c r="BO908" s="158"/>
      <c r="BP908" s="158"/>
      <c r="BQ908" s="158"/>
      <c r="BR908" s="158"/>
    </row>
    <row r="909">
      <c r="A909" s="158"/>
      <c r="B909" s="231"/>
      <c r="C909" s="242"/>
      <c r="D909" s="242"/>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c r="AW909" s="158"/>
      <c r="AX909" s="158"/>
      <c r="AY909" s="158"/>
      <c r="AZ909" s="158"/>
      <c r="BA909" s="158"/>
      <c r="BB909" s="158"/>
      <c r="BC909" s="158"/>
      <c r="BD909" s="158"/>
      <c r="BE909" s="158"/>
      <c r="BF909" s="158"/>
      <c r="BG909" s="158"/>
      <c r="BH909" s="158"/>
      <c r="BI909" s="158"/>
      <c r="BJ909" s="158"/>
      <c r="BK909" s="158"/>
      <c r="BL909" s="158"/>
      <c r="BM909" s="158"/>
      <c r="BN909" s="158"/>
      <c r="BO909" s="158"/>
      <c r="BP909" s="158"/>
      <c r="BQ909" s="158"/>
      <c r="BR909" s="158"/>
    </row>
    <row r="910">
      <c r="A910" s="158"/>
      <c r="B910" s="231"/>
      <c r="C910" s="242"/>
      <c r="D910" s="242"/>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c r="AW910" s="158"/>
      <c r="AX910" s="158"/>
      <c r="AY910" s="158"/>
      <c r="AZ910" s="158"/>
      <c r="BA910" s="158"/>
      <c r="BB910" s="158"/>
      <c r="BC910" s="158"/>
      <c r="BD910" s="158"/>
      <c r="BE910" s="158"/>
      <c r="BF910" s="158"/>
      <c r="BG910" s="158"/>
      <c r="BH910" s="158"/>
      <c r="BI910" s="158"/>
      <c r="BJ910" s="158"/>
      <c r="BK910" s="158"/>
      <c r="BL910" s="158"/>
      <c r="BM910" s="158"/>
      <c r="BN910" s="158"/>
      <c r="BO910" s="158"/>
      <c r="BP910" s="158"/>
      <c r="BQ910" s="158"/>
      <c r="BR910" s="158"/>
    </row>
    <row r="911">
      <c r="A911" s="158"/>
      <c r="B911" s="231"/>
      <c r="C911" s="242"/>
      <c r="D911" s="242"/>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c r="AW911" s="158"/>
      <c r="AX911" s="158"/>
      <c r="AY911" s="158"/>
      <c r="AZ911" s="158"/>
      <c r="BA911" s="158"/>
      <c r="BB911" s="158"/>
      <c r="BC911" s="158"/>
      <c r="BD911" s="158"/>
      <c r="BE911" s="158"/>
      <c r="BF911" s="158"/>
      <c r="BG911" s="158"/>
      <c r="BH911" s="158"/>
      <c r="BI911" s="158"/>
      <c r="BJ911" s="158"/>
      <c r="BK911" s="158"/>
      <c r="BL911" s="158"/>
      <c r="BM911" s="158"/>
      <c r="BN911" s="158"/>
      <c r="BO911" s="158"/>
      <c r="BP911" s="158"/>
      <c r="BQ911" s="158"/>
      <c r="BR911" s="158"/>
    </row>
    <row r="912">
      <c r="A912" s="158"/>
      <c r="B912" s="231"/>
      <c r="C912" s="242"/>
      <c r="D912" s="242"/>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c r="AW912" s="158"/>
      <c r="AX912" s="158"/>
      <c r="AY912" s="158"/>
      <c r="AZ912" s="158"/>
      <c r="BA912" s="158"/>
      <c r="BB912" s="158"/>
      <c r="BC912" s="158"/>
      <c r="BD912" s="158"/>
      <c r="BE912" s="158"/>
      <c r="BF912" s="158"/>
      <c r="BG912" s="158"/>
      <c r="BH912" s="158"/>
      <c r="BI912" s="158"/>
      <c r="BJ912" s="158"/>
      <c r="BK912" s="158"/>
      <c r="BL912" s="158"/>
      <c r="BM912" s="158"/>
      <c r="BN912" s="158"/>
      <c r="BO912" s="158"/>
      <c r="BP912" s="158"/>
      <c r="BQ912" s="158"/>
      <c r="BR912" s="158"/>
    </row>
    <row r="913">
      <c r="A913" s="158"/>
      <c r="B913" s="231"/>
      <c r="C913" s="242"/>
      <c r="D913" s="242"/>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c r="AW913" s="158"/>
      <c r="AX913" s="158"/>
      <c r="AY913" s="158"/>
      <c r="AZ913" s="158"/>
      <c r="BA913" s="158"/>
      <c r="BB913" s="158"/>
      <c r="BC913" s="158"/>
      <c r="BD913" s="158"/>
      <c r="BE913" s="158"/>
      <c r="BF913" s="158"/>
      <c r="BG913" s="158"/>
      <c r="BH913" s="158"/>
      <c r="BI913" s="158"/>
      <c r="BJ913" s="158"/>
      <c r="BK913" s="158"/>
      <c r="BL913" s="158"/>
      <c r="BM913" s="158"/>
      <c r="BN913" s="158"/>
      <c r="BO913" s="158"/>
      <c r="BP913" s="158"/>
      <c r="BQ913" s="158"/>
      <c r="BR913" s="158"/>
    </row>
    <row r="914">
      <c r="A914" s="158"/>
      <c r="B914" s="231"/>
      <c r="C914" s="242"/>
      <c r="D914" s="242"/>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c r="AW914" s="158"/>
      <c r="AX914" s="158"/>
      <c r="AY914" s="158"/>
      <c r="AZ914" s="158"/>
      <c r="BA914" s="158"/>
      <c r="BB914" s="158"/>
      <c r="BC914" s="158"/>
      <c r="BD914" s="158"/>
      <c r="BE914" s="158"/>
      <c r="BF914" s="158"/>
      <c r="BG914" s="158"/>
      <c r="BH914" s="158"/>
      <c r="BI914" s="158"/>
      <c r="BJ914" s="158"/>
      <c r="BK914" s="158"/>
      <c r="BL914" s="158"/>
      <c r="BM914" s="158"/>
      <c r="BN914" s="158"/>
      <c r="BO914" s="158"/>
      <c r="BP914" s="158"/>
      <c r="BQ914" s="158"/>
      <c r="BR914" s="158"/>
    </row>
    <row r="915">
      <c r="A915" s="158"/>
      <c r="B915" s="231"/>
      <c r="C915" s="242"/>
      <c r="D915" s="242"/>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c r="AW915" s="158"/>
      <c r="AX915" s="158"/>
      <c r="AY915" s="158"/>
      <c r="AZ915" s="158"/>
      <c r="BA915" s="158"/>
      <c r="BB915" s="158"/>
      <c r="BC915" s="158"/>
      <c r="BD915" s="158"/>
      <c r="BE915" s="158"/>
      <c r="BF915" s="158"/>
      <c r="BG915" s="158"/>
      <c r="BH915" s="158"/>
      <c r="BI915" s="158"/>
      <c r="BJ915" s="158"/>
      <c r="BK915" s="158"/>
      <c r="BL915" s="158"/>
      <c r="BM915" s="158"/>
      <c r="BN915" s="158"/>
      <c r="BO915" s="158"/>
      <c r="BP915" s="158"/>
      <c r="BQ915" s="158"/>
      <c r="BR915" s="158"/>
    </row>
    <row r="916">
      <c r="A916" s="158"/>
      <c r="B916" s="231"/>
      <c r="C916" s="242"/>
      <c r="D916" s="242"/>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c r="BF916" s="158"/>
      <c r="BG916" s="158"/>
      <c r="BH916" s="158"/>
      <c r="BI916" s="158"/>
      <c r="BJ916" s="158"/>
      <c r="BK916" s="158"/>
      <c r="BL916" s="158"/>
      <c r="BM916" s="158"/>
      <c r="BN916" s="158"/>
      <c r="BO916" s="158"/>
      <c r="BP916" s="158"/>
      <c r="BQ916" s="158"/>
      <c r="BR916" s="158"/>
    </row>
    <row r="917">
      <c r="A917" s="158"/>
      <c r="B917" s="231"/>
      <c r="C917" s="242"/>
      <c r="D917" s="242"/>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c r="BF917" s="158"/>
      <c r="BG917" s="158"/>
      <c r="BH917" s="158"/>
      <c r="BI917" s="158"/>
      <c r="BJ917" s="158"/>
      <c r="BK917" s="158"/>
      <c r="BL917" s="158"/>
      <c r="BM917" s="158"/>
      <c r="BN917" s="158"/>
      <c r="BO917" s="158"/>
      <c r="BP917" s="158"/>
      <c r="BQ917" s="158"/>
      <c r="BR917" s="158"/>
    </row>
    <row r="918">
      <c r="A918" s="158"/>
      <c r="B918" s="231"/>
      <c r="C918" s="242"/>
      <c r="D918" s="242"/>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c r="BF918" s="158"/>
      <c r="BG918" s="158"/>
      <c r="BH918" s="158"/>
      <c r="BI918" s="158"/>
      <c r="BJ918" s="158"/>
      <c r="BK918" s="158"/>
      <c r="BL918" s="158"/>
      <c r="BM918" s="158"/>
      <c r="BN918" s="158"/>
      <c r="BO918" s="158"/>
      <c r="BP918" s="158"/>
      <c r="BQ918" s="158"/>
      <c r="BR918" s="158"/>
    </row>
    <row r="919">
      <c r="A919" s="158"/>
      <c r="B919" s="231"/>
      <c r="C919" s="242"/>
      <c r="D919" s="242"/>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c r="AW919" s="158"/>
      <c r="AX919" s="158"/>
      <c r="AY919" s="158"/>
      <c r="AZ919" s="158"/>
      <c r="BA919" s="158"/>
      <c r="BB919" s="158"/>
      <c r="BC919" s="158"/>
      <c r="BD919" s="158"/>
      <c r="BE919" s="158"/>
      <c r="BF919" s="158"/>
      <c r="BG919" s="158"/>
      <c r="BH919" s="158"/>
      <c r="BI919" s="158"/>
      <c r="BJ919" s="158"/>
      <c r="BK919" s="158"/>
      <c r="BL919" s="158"/>
      <c r="BM919" s="158"/>
      <c r="BN919" s="158"/>
      <c r="BO919" s="158"/>
      <c r="BP919" s="158"/>
      <c r="BQ919" s="158"/>
      <c r="BR919" s="158"/>
    </row>
    <row r="920">
      <c r="A920" s="158"/>
      <c r="B920" s="231"/>
      <c r="C920" s="242"/>
      <c r="D920" s="242"/>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c r="AW920" s="158"/>
      <c r="AX920" s="158"/>
      <c r="AY920" s="158"/>
      <c r="AZ920" s="158"/>
      <c r="BA920" s="158"/>
      <c r="BB920" s="158"/>
      <c r="BC920" s="158"/>
      <c r="BD920" s="158"/>
      <c r="BE920" s="158"/>
      <c r="BF920" s="158"/>
      <c r="BG920" s="158"/>
      <c r="BH920" s="158"/>
      <c r="BI920" s="158"/>
      <c r="BJ920" s="158"/>
      <c r="BK920" s="158"/>
      <c r="BL920" s="158"/>
      <c r="BM920" s="158"/>
      <c r="BN920" s="158"/>
      <c r="BO920" s="158"/>
      <c r="BP920" s="158"/>
      <c r="BQ920" s="158"/>
      <c r="BR920" s="158"/>
    </row>
    <row r="921">
      <c r="A921" s="158"/>
      <c r="B921" s="231"/>
      <c r="C921" s="242"/>
      <c r="D921" s="242"/>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c r="AW921" s="158"/>
      <c r="AX921" s="158"/>
      <c r="AY921" s="158"/>
      <c r="AZ921" s="158"/>
      <c r="BA921" s="158"/>
      <c r="BB921" s="158"/>
      <c r="BC921" s="158"/>
      <c r="BD921" s="158"/>
      <c r="BE921" s="158"/>
      <c r="BF921" s="158"/>
      <c r="BG921" s="158"/>
      <c r="BH921" s="158"/>
      <c r="BI921" s="158"/>
      <c r="BJ921" s="158"/>
      <c r="BK921" s="158"/>
      <c r="BL921" s="158"/>
      <c r="BM921" s="158"/>
      <c r="BN921" s="158"/>
      <c r="BO921" s="158"/>
      <c r="BP921" s="158"/>
      <c r="BQ921" s="158"/>
      <c r="BR921" s="158"/>
    </row>
    <row r="922">
      <c r="A922" s="158"/>
      <c r="B922" s="231"/>
      <c r="C922" s="242"/>
      <c r="D922" s="242"/>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c r="AW922" s="158"/>
      <c r="AX922" s="158"/>
      <c r="AY922" s="158"/>
      <c r="AZ922" s="158"/>
      <c r="BA922" s="158"/>
      <c r="BB922" s="158"/>
      <c r="BC922" s="158"/>
      <c r="BD922" s="158"/>
      <c r="BE922" s="158"/>
      <c r="BF922" s="158"/>
      <c r="BG922" s="158"/>
      <c r="BH922" s="158"/>
      <c r="BI922" s="158"/>
      <c r="BJ922" s="158"/>
      <c r="BK922" s="158"/>
      <c r="BL922" s="158"/>
      <c r="BM922" s="158"/>
      <c r="BN922" s="158"/>
      <c r="BO922" s="158"/>
      <c r="BP922" s="158"/>
      <c r="BQ922" s="158"/>
      <c r="BR922" s="158"/>
    </row>
    <row r="923">
      <c r="A923" s="158"/>
      <c r="B923" s="231"/>
      <c r="C923" s="242"/>
      <c r="D923" s="242"/>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c r="AW923" s="158"/>
      <c r="AX923" s="158"/>
      <c r="AY923" s="158"/>
      <c r="AZ923" s="158"/>
      <c r="BA923" s="158"/>
      <c r="BB923" s="158"/>
      <c r="BC923" s="158"/>
      <c r="BD923" s="158"/>
      <c r="BE923" s="158"/>
      <c r="BF923" s="158"/>
      <c r="BG923" s="158"/>
      <c r="BH923" s="158"/>
      <c r="BI923" s="158"/>
      <c r="BJ923" s="158"/>
      <c r="BK923" s="158"/>
      <c r="BL923" s="158"/>
      <c r="BM923" s="158"/>
      <c r="BN923" s="158"/>
      <c r="BO923" s="158"/>
      <c r="BP923" s="158"/>
      <c r="BQ923" s="158"/>
      <c r="BR923" s="158"/>
    </row>
    <row r="924">
      <c r="A924" s="158"/>
      <c r="B924" s="231"/>
      <c r="C924" s="242"/>
      <c r="D924" s="242"/>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c r="AW924" s="158"/>
      <c r="AX924" s="158"/>
      <c r="AY924" s="158"/>
      <c r="AZ924" s="158"/>
      <c r="BA924" s="158"/>
      <c r="BB924" s="158"/>
      <c r="BC924" s="158"/>
      <c r="BD924" s="158"/>
      <c r="BE924" s="158"/>
      <c r="BF924" s="158"/>
      <c r="BG924" s="158"/>
      <c r="BH924" s="158"/>
      <c r="BI924" s="158"/>
      <c r="BJ924" s="158"/>
      <c r="BK924" s="158"/>
      <c r="BL924" s="158"/>
      <c r="BM924" s="158"/>
      <c r="BN924" s="158"/>
      <c r="BO924" s="158"/>
      <c r="BP924" s="158"/>
      <c r="BQ924" s="158"/>
      <c r="BR924" s="158"/>
    </row>
    <row r="925">
      <c r="A925" s="158"/>
      <c r="B925" s="231"/>
      <c r="C925" s="242"/>
      <c r="D925" s="242"/>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c r="AW925" s="158"/>
      <c r="AX925" s="158"/>
      <c r="AY925" s="158"/>
      <c r="AZ925" s="158"/>
      <c r="BA925" s="158"/>
      <c r="BB925" s="158"/>
      <c r="BC925" s="158"/>
      <c r="BD925" s="158"/>
      <c r="BE925" s="158"/>
      <c r="BF925" s="158"/>
      <c r="BG925" s="158"/>
      <c r="BH925" s="158"/>
      <c r="BI925" s="158"/>
      <c r="BJ925" s="158"/>
      <c r="BK925" s="158"/>
      <c r="BL925" s="158"/>
      <c r="BM925" s="158"/>
      <c r="BN925" s="158"/>
      <c r="BO925" s="158"/>
      <c r="BP925" s="158"/>
      <c r="BQ925" s="158"/>
      <c r="BR925" s="158"/>
    </row>
    <row r="926">
      <c r="A926" s="158"/>
      <c r="B926" s="231"/>
      <c r="C926" s="242"/>
      <c r="D926" s="242"/>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c r="BF926" s="158"/>
      <c r="BG926" s="158"/>
      <c r="BH926" s="158"/>
      <c r="BI926" s="158"/>
      <c r="BJ926" s="158"/>
      <c r="BK926" s="158"/>
      <c r="BL926" s="158"/>
      <c r="BM926" s="158"/>
      <c r="BN926" s="158"/>
      <c r="BO926" s="158"/>
      <c r="BP926" s="158"/>
      <c r="BQ926" s="158"/>
      <c r="BR926" s="158"/>
    </row>
    <row r="927">
      <c r="A927" s="158"/>
      <c r="B927" s="231"/>
      <c r="C927" s="242"/>
      <c r="D927" s="242"/>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c r="AW927" s="158"/>
      <c r="AX927" s="158"/>
      <c r="AY927" s="158"/>
      <c r="AZ927" s="158"/>
      <c r="BA927" s="158"/>
      <c r="BB927" s="158"/>
      <c r="BC927" s="158"/>
      <c r="BD927" s="158"/>
      <c r="BE927" s="158"/>
      <c r="BF927" s="158"/>
      <c r="BG927" s="158"/>
      <c r="BH927" s="158"/>
      <c r="BI927" s="158"/>
      <c r="BJ927" s="158"/>
      <c r="BK927" s="158"/>
      <c r="BL927" s="158"/>
      <c r="BM927" s="158"/>
      <c r="BN927" s="158"/>
      <c r="BO927" s="158"/>
      <c r="BP927" s="158"/>
      <c r="BQ927" s="158"/>
      <c r="BR927" s="158"/>
    </row>
    <row r="928">
      <c r="A928" s="158"/>
      <c r="B928" s="231"/>
      <c r="C928" s="242"/>
      <c r="D928" s="242"/>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c r="AW928" s="158"/>
      <c r="AX928" s="158"/>
      <c r="AY928" s="158"/>
      <c r="AZ928" s="158"/>
      <c r="BA928" s="158"/>
      <c r="BB928" s="158"/>
      <c r="BC928" s="158"/>
      <c r="BD928" s="158"/>
      <c r="BE928" s="158"/>
      <c r="BF928" s="158"/>
      <c r="BG928" s="158"/>
      <c r="BH928" s="158"/>
      <c r="BI928" s="158"/>
      <c r="BJ928" s="158"/>
      <c r="BK928" s="158"/>
      <c r="BL928" s="158"/>
      <c r="BM928" s="158"/>
      <c r="BN928" s="158"/>
      <c r="BO928" s="158"/>
      <c r="BP928" s="158"/>
      <c r="BQ928" s="158"/>
      <c r="BR928" s="158"/>
    </row>
    <row r="929">
      <c r="A929" s="158"/>
      <c r="B929" s="231"/>
      <c r="C929" s="242"/>
      <c r="D929" s="242"/>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c r="AW929" s="158"/>
      <c r="AX929" s="158"/>
      <c r="AY929" s="158"/>
      <c r="AZ929" s="158"/>
      <c r="BA929" s="158"/>
      <c r="BB929" s="158"/>
      <c r="BC929" s="158"/>
      <c r="BD929" s="158"/>
      <c r="BE929" s="158"/>
      <c r="BF929" s="158"/>
      <c r="BG929" s="158"/>
      <c r="BH929" s="158"/>
      <c r="BI929" s="158"/>
      <c r="BJ929" s="158"/>
      <c r="BK929" s="158"/>
      <c r="BL929" s="158"/>
      <c r="BM929" s="158"/>
      <c r="BN929" s="158"/>
      <c r="BO929" s="158"/>
      <c r="BP929" s="158"/>
      <c r="BQ929" s="158"/>
      <c r="BR929" s="158"/>
    </row>
    <row r="930">
      <c r="A930" s="158"/>
      <c r="B930" s="231"/>
      <c r="C930" s="242"/>
      <c r="D930" s="242"/>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c r="AW930" s="158"/>
      <c r="AX930" s="158"/>
      <c r="AY930" s="158"/>
      <c r="AZ930" s="158"/>
      <c r="BA930" s="158"/>
      <c r="BB930" s="158"/>
      <c r="BC930" s="158"/>
      <c r="BD930" s="158"/>
      <c r="BE930" s="158"/>
      <c r="BF930" s="158"/>
      <c r="BG930" s="158"/>
      <c r="BH930" s="158"/>
      <c r="BI930" s="158"/>
      <c r="BJ930" s="158"/>
      <c r="BK930" s="158"/>
      <c r="BL930" s="158"/>
      <c r="BM930" s="158"/>
      <c r="BN930" s="158"/>
      <c r="BO930" s="158"/>
      <c r="BP930" s="158"/>
      <c r="BQ930" s="158"/>
      <c r="BR930" s="158"/>
    </row>
    <row r="931">
      <c r="A931" s="158"/>
      <c r="B931" s="231"/>
      <c r="C931" s="242"/>
      <c r="D931" s="242"/>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c r="AW931" s="158"/>
      <c r="AX931" s="158"/>
      <c r="AY931" s="158"/>
      <c r="AZ931" s="158"/>
      <c r="BA931" s="158"/>
      <c r="BB931" s="158"/>
      <c r="BC931" s="158"/>
      <c r="BD931" s="158"/>
      <c r="BE931" s="158"/>
      <c r="BF931" s="158"/>
      <c r="BG931" s="158"/>
      <c r="BH931" s="158"/>
      <c r="BI931" s="158"/>
      <c r="BJ931" s="158"/>
      <c r="BK931" s="158"/>
      <c r="BL931" s="158"/>
      <c r="BM931" s="158"/>
      <c r="BN931" s="158"/>
      <c r="BO931" s="158"/>
      <c r="BP931" s="158"/>
      <c r="BQ931" s="158"/>
      <c r="BR931" s="158"/>
    </row>
    <row r="932">
      <c r="A932" s="158"/>
      <c r="B932" s="231"/>
      <c r="C932" s="242"/>
      <c r="D932" s="242"/>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c r="BF932" s="158"/>
      <c r="BG932" s="158"/>
      <c r="BH932" s="158"/>
      <c r="BI932" s="158"/>
      <c r="BJ932" s="158"/>
      <c r="BK932" s="158"/>
      <c r="BL932" s="158"/>
      <c r="BM932" s="158"/>
      <c r="BN932" s="158"/>
      <c r="BO932" s="158"/>
      <c r="BP932" s="158"/>
      <c r="BQ932" s="158"/>
      <c r="BR932" s="158"/>
    </row>
    <row r="933">
      <c r="A933" s="158"/>
      <c r="B933" s="231"/>
      <c r="C933" s="242"/>
      <c r="D933" s="242"/>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c r="BF933" s="158"/>
      <c r="BG933" s="158"/>
      <c r="BH933" s="158"/>
      <c r="BI933" s="158"/>
      <c r="BJ933" s="158"/>
      <c r="BK933" s="158"/>
      <c r="BL933" s="158"/>
      <c r="BM933" s="158"/>
      <c r="BN933" s="158"/>
      <c r="BO933" s="158"/>
      <c r="BP933" s="158"/>
      <c r="BQ933" s="158"/>
      <c r="BR933" s="158"/>
    </row>
    <row r="934">
      <c r="A934" s="158"/>
      <c r="B934" s="231"/>
      <c r="C934" s="242"/>
      <c r="D934" s="242"/>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c r="BF934" s="158"/>
      <c r="BG934" s="158"/>
      <c r="BH934" s="158"/>
      <c r="BI934" s="158"/>
      <c r="BJ934" s="158"/>
      <c r="BK934" s="158"/>
      <c r="BL934" s="158"/>
      <c r="BM934" s="158"/>
      <c r="BN934" s="158"/>
      <c r="BO934" s="158"/>
      <c r="BP934" s="158"/>
      <c r="BQ934" s="158"/>
      <c r="BR934" s="158"/>
    </row>
    <row r="935">
      <c r="A935" s="158"/>
      <c r="B935" s="231"/>
      <c r="C935" s="242"/>
      <c r="D935" s="242"/>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c r="BF935" s="158"/>
      <c r="BG935" s="158"/>
      <c r="BH935" s="158"/>
      <c r="BI935" s="158"/>
      <c r="BJ935" s="158"/>
      <c r="BK935" s="158"/>
      <c r="BL935" s="158"/>
      <c r="BM935" s="158"/>
      <c r="BN935" s="158"/>
      <c r="BO935" s="158"/>
      <c r="BP935" s="158"/>
      <c r="BQ935" s="158"/>
      <c r="BR935" s="158"/>
    </row>
    <row r="936">
      <c r="A936" s="158"/>
      <c r="B936" s="231"/>
      <c r="C936" s="242"/>
      <c r="D936" s="242"/>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c r="BF936" s="158"/>
      <c r="BG936" s="158"/>
      <c r="BH936" s="158"/>
      <c r="BI936" s="158"/>
      <c r="BJ936" s="158"/>
      <c r="BK936" s="158"/>
      <c r="BL936" s="158"/>
      <c r="BM936" s="158"/>
      <c r="BN936" s="158"/>
      <c r="BO936" s="158"/>
      <c r="BP936" s="158"/>
      <c r="BQ936" s="158"/>
      <c r="BR936" s="158"/>
    </row>
    <row r="937">
      <c r="A937" s="158"/>
      <c r="B937" s="231"/>
      <c r="C937" s="242"/>
      <c r="D937" s="242"/>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c r="BF937" s="158"/>
      <c r="BG937" s="158"/>
      <c r="BH937" s="158"/>
      <c r="BI937" s="158"/>
      <c r="BJ937" s="158"/>
      <c r="BK937" s="158"/>
      <c r="BL937" s="158"/>
      <c r="BM937" s="158"/>
      <c r="BN937" s="158"/>
      <c r="BO937" s="158"/>
      <c r="BP937" s="158"/>
      <c r="BQ937" s="158"/>
      <c r="BR937" s="158"/>
    </row>
    <row r="938">
      <c r="A938" s="158"/>
      <c r="B938" s="231"/>
      <c r="C938" s="242"/>
      <c r="D938" s="242"/>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c r="BF938" s="158"/>
      <c r="BG938" s="158"/>
      <c r="BH938" s="158"/>
      <c r="BI938" s="158"/>
      <c r="BJ938" s="158"/>
      <c r="BK938" s="158"/>
      <c r="BL938" s="158"/>
      <c r="BM938" s="158"/>
      <c r="BN938" s="158"/>
      <c r="BO938" s="158"/>
      <c r="BP938" s="158"/>
      <c r="BQ938" s="158"/>
      <c r="BR938" s="158"/>
    </row>
    <row r="939">
      <c r="A939" s="158"/>
      <c r="B939" s="231"/>
      <c r="C939" s="242"/>
      <c r="D939" s="242"/>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c r="AW939" s="158"/>
      <c r="AX939" s="158"/>
      <c r="AY939" s="158"/>
      <c r="AZ939" s="158"/>
      <c r="BA939" s="158"/>
      <c r="BB939" s="158"/>
      <c r="BC939" s="158"/>
      <c r="BD939" s="158"/>
      <c r="BE939" s="158"/>
      <c r="BF939" s="158"/>
      <c r="BG939" s="158"/>
      <c r="BH939" s="158"/>
      <c r="BI939" s="158"/>
      <c r="BJ939" s="158"/>
      <c r="BK939" s="158"/>
      <c r="BL939" s="158"/>
      <c r="BM939" s="158"/>
      <c r="BN939" s="158"/>
      <c r="BO939" s="158"/>
      <c r="BP939" s="158"/>
      <c r="BQ939" s="158"/>
      <c r="BR939" s="158"/>
    </row>
    <row r="940">
      <c r="A940" s="158"/>
      <c r="B940" s="231"/>
      <c r="C940" s="242"/>
      <c r="D940" s="242"/>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c r="AW940" s="158"/>
      <c r="AX940" s="158"/>
      <c r="AY940" s="158"/>
      <c r="AZ940" s="158"/>
      <c r="BA940" s="158"/>
      <c r="BB940" s="158"/>
      <c r="BC940" s="158"/>
      <c r="BD940" s="158"/>
      <c r="BE940" s="158"/>
      <c r="BF940" s="158"/>
      <c r="BG940" s="158"/>
      <c r="BH940" s="158"/>
      <c r="BI940" s="158"/>
      <c r="BJ940" s="158"/>
      <c r="BK940" s="158"/>
      <c r="BL940" s="158"/>
      <c r="BM940" s="158"/>
      <c r="BN940" s="158"/>
      <c r="BO940" s="158"/>
      <c r="BP940" s="158"/>
      <c r="BQ940" s="158"/>
      <c r="BR940" s="158"/>
    </row>
    <row r="941">
      <c r="A941" s="158"/>
      <c r="B941" s="231"/>
      <c r="C941" s="242"/>
      <c r="D941" s="242"/>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c r="BF941" s="158"/>
      <c r="BG941" s="158"/>
      <c r="BH941" s="158"/>
      <c r="BI941" s="158"/>
      <c r="BJ941" s="158"/>
      <c r="BK941" s="158"/>
      <c r="BL941" s="158"/>
      <c r="BM941" s="158"/>
      <c r="BN941" s="158"/>
      <c r="BO941" s="158"/>
      <c r="BP941" s="158"/>
      <c r="BQ941" s="158"/>
      <c r="BR941" s="158"/>
    </row>
    <row r="942">
      <c r="A942" s="158"/>
      <c r="B942" s="231"/>
      <c r="C942" s="242"/>
      <c r="D942" s="242"/>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c r="AW942" s="158"/>
      <c r="AX942" s="158"/>
      <c r="AY942" s="158"/>
      <c r="AZ942" s="158"/>
      <c r="BA942" s="158"/>
      <c r="BB942" s="158"/>
      <c r="BC942" s="158"/>
      <c r="BD942" s="158"/>
      <c r="BE942" s="158"/>
      <c r="BF942" s="158"/>
      <c r="BG942" s="158"/>
      <c r="BH942" s="158"/>
      <c r="BI942" s="158"/>
      <c r="BJ942" s="158"/>
      <c r="BK942" s="158"/>
      <c r="BL942" s="158"/>
      <c r="BM942" s="158"/>
      <c r="BN942" s="158"/>
      <c r="BO942" s="158"/>
      <c r="BP942" s="158"/>
      <c r="BQ942" s="158"/>
      <c r="BR942" s="158"/>
    </row>
    <row r="943">
      <c r="A943" s="158"/>
      <c r="B943" s="231"/>
      <c r="C943" s="242"/>
      <c r="D943" s="242"/>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c r="AW943" s="158"/>
      <c r="AX943" s="158"/>
      <c r="AY943" s="158"/>
      <c r="AZ943" s="158"/>
      <c r="BA943" s="158"/>
      <c r="BB943" s="158"/>
      <c r="BC943" s="158"/>
      <c r="BD943" s="158"/>
      <c r="BE943" s="158"/>
      <c r="BF943" s="158"/>
      <c r="BG943" s="158"/>
      <c r="BH943" s="158"/>
      <c r="BI943" s="158"/>
      <c r="BJ943" s="158"/>
      <c r="BK943" s="158"/>
      <c r="BL943" s="158"/>
      <c r="BM943" s="158"/>
      <c r="BN943" s="158"/>
      <c r="BO943" s="158"/>
      <c r="BP943" s="158"/>
      <c r="BQ943" s="158"/>
      <c r="BR943" s="158"/>
    </row>
    <row r="944">
      <c r="A944" s="158"/>
      <c r="B944" s="231"/>
      <c r="C944" s="242"/>
      <c r="D944" s="242"/>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c r="AW944" s="158"/>
      <c r="AX944" s="158"/>
      <c r="AY944" s="158"/>
      <c r="AZ944" s="158"/>
      <c r="BA944" s="158"/>
      <c r="BB944" s="158"/>
      <c r="BC944" s="158"/>
      <c r="BD944" s="158"/>
      <c r="BE944" s="158"/>
      <c r="BF944" s="158"/>
      <c r="BG944" s="158"/>
      <c r="BH944" s="158"/>
      <c r="BI944" s="158"/>
      <c r="BJ944" s="158"/>
      <c r="BK944" s="158"/>
      <c r="BL944" s="158"/>
      <c r="BM944" s="158"/>
      <c r="BN944" s="158"/>
      <c r="BO944" s="158"/>
      <c r="BP944" s="158"/>
      <c r="BQ944" s="158"/>
      <c r="BR944" s="158"/>
    </row>
    <row r="945">
      <c r="A945" s="158"/>
      <c r="B945" s="231"/>
      <c r="C945" s="242"/>
      <c r="D945" s="242"/>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c r="AW945" s="158"/>
      <c r="AX945" s="158"/>
      <c r="AY945" s="158"/>
      <c r="AZ945" s="158"/>
      <c r="BA945" s="158"/>
      <c r="BB945" s="158"/>
      <c r="BC945" s="158"/>
      <c r="BD945" s="158"/>
      <c r="BE945" s="158"/>
      <c r="BF945" s="158"/>
      <c r="BG945" s="158"/>
      <c r="BH945" s="158"/>
      <c r="BI945" s="158"/>
      <c r="BJ945" s="158"/>
      <c r="BK945" s="158"/>
      <c r="BL945" s="158"/>
      <c r="BM945" s="158"/>
      <c r="BN945" s="158"/>
      <c r="BO945" s="158"/>
      <c r="BP945" s="158"/>
      <c r="BQ945" s="158"/>
      <c r="BR945" s="158"/>
    </row>
    <row r="946">
      <c r="A946" s="158"/>
      <c r="B946" s="231"/>
      <c r="C946" s="242"/>
      <c r="D946" s="242"/>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c r="AW946" s="158"/>
      <c r="AX946" s="158"/>
      <c r="AY946" s="158"/>
      <c r="AZ946" s="158"/>
      <c r="BA946" s="158"/>
      <c r="BB946" s="158"/>
      <c r="BC946" s="158"/>
      <c r="BD946" s="158"/>
      <c r="BE946" s="158"/>
      <c r="BF946" s="158"/>
      <c r="BG946" s="158"/>
      <c r="BH946" s="158"/>
      <c r="BI946" s="158"/>
      <c r="BJ946" s="158"/>
      <c r="BK946" s="158"/>
      <c r="BL946" s="158"/>
      <c r="BM946" s="158"/>
      <c r="BN946" s="158"/>
      <c r="BO946" s="158"/>
      <c r="BP946" s="158"/>
      <c r="BQ946" s="158"/>
      <c r="BR946" s="158"/>
    </row>
    <row r="947">
      <c r="A947" s="158"/>
      <c r="B947" s="231"/>
      <c r="C947" s="242"/>
      <c r="D947" s="242"/>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c r="AW947" s="158"/>
      <c r="AX947" s="158"/>
      <c r="AY947" s="158"/>
      <c r="AZ947" s="158"/>
      <c r="BA947" s="158"/>
      <c r="BB947" s="158"/>
      <c r="BC947" s="158"/>
      <c r="BD947" s="158"/>
      <c r="BE947" s="158"/>
      <c r="BF947" s="158"/>
      <c r="BG947" s="158"/>
      <c r="BH947" s="158"/>
      <c r="BI947" s="158"/>
      <c r="BJ947" s="158"/>
      <c r="BK947" s="158"/>
      <c r="BL947" s="158"/>
      <c r="BM947" s="158"/>
      <c r="BN947" s="158"/>
      <c r="BO947" s="158"/>
      <c r="BP947" s="158"/>
      <c r="BQ947" s="158"/>
      <c r="BR947" s="158"/>
    </row>
    <row r="948">
      <c r="A948" s="158"/>
      <c r="B948" s="231"/>
      <c r="C948" s="242"/>
      <c r="D948" s="242"/>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c r="AW948" s="158"/>
      <c r="AX948" s="158"/>
      <c r="AY948" s="158"/>
      <c r="AZ948" s="158"/>
      <c r="BA948" s="158"/>
      <c r="BB948" s="158"/>
      <c r="BC948" s="158"/>
      <c r="BD948" s="158"/>
      <c r="BE948" s="158"/>
      <c r="BF948" s="158"/>
      <c r="BG948" s="158"/>
      <c r="BH948" s="158"/>
      <c r="BI948" s="158"/>
      <c r="BJ948" s="158"/>
      <c r="BK948" s="158"/>
      <c r="BL948" s="158"/>
      <c r="BM948" s="158"/>
      <c r="BN948" s="158"/>
      <c r="BO948" s="158"/>
      <c r="BP948" s="158"/>
      <c r="BQ948" s="158"/>
      <c r="BR948" s="158"/>
    </row>
    <row r="949">
      <c r="A949" s="158"/>
      <c r="B949" s="231"/>
      <c r="C949" s="242"/>
      <c r="D949" s="242"/>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c r="AW949" s="158"/>
      <c r="AX949" s="158"/>
      <c r="AY949" s="158"/>
      <c r="AZ949" s="158"/>
      <c r="BA949" s="158"/>
      <c r="BB949" s="158"/>
      <c r="BC949" s="158"/>
      <c r="BD949" s="158"/>
      <c r="BE949" s="158"/>
      <c r="BF949" s="158"/>
      <c r="BG949" s="158"/>
      <c r="BH949" s="158"/>
      <c r="BI949" s="158"/>
      <c r="BJ949" s="158"/>
      <c r="BK949" s="158"/>
      <c r="BL949" s="158"/>
      <c r="BM949" s="158"/>
      <c r="BN949" s="158"/>
      <c r="BO949" s="158"/>
      <c r="BP949" s="158"/>
      <c r="BQ949" s="158"/>
      <c r="BR949" s="158"/>
    </row>
    <row r="950">
      <c r="A950" s="158"/>
      <c r="B950" s="231"/>
      <c r="C950" s="242"/>
      <c r="D950" s="242"/>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c r="AW950" s="158"/>
      <c r="AX950" s="158"/>
      <c r="AY950" s="158"/>
      <c r="AZ950" s="158"/>
      <c r="BA950" s="158"/>
      <c r="BB950" s="158"/>
      <c r="BC950" s="158"/>
      <c r="BD950" s="158"/>
      <c r="BE950" s="158"/>
      <c r="BF950" s="158"/>
      <c r="BG950" s="158"/>
      <c r="BH950" s="158"/>
      <c r="BI950" s="158"/>
      <c r="BJ950" s="158"/>
      <c r="BK950" s="158"/>
      <c r="BL950" s="158"/>
      <c r="BM950" s="158"/>
      <c r="BN950" s="158"/>
      <c r="BO950" s="158"/>
      <c r="BP950" s="158"/>
      <c r="BQ950" s="158"/>
      <c r="BR950" s="158"/>
    </row>
    <row r="951">
      <c r="A951" s="158"/>
      <c r="B951" s="231"/>
      <c r="C951" s="242"/>
      <c r="D951" s="242"/>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c r="AW951" s="158"/>
      <c r="AX951" s="158"/>
      <c r="AY951" s="158"/>
      <c r="AZ951" s="158"/>
      <c r="BA951" s="158"/>
      <c r="BB951" s="158"/>
      <c r="BC951" s="158"/>
      <c r="BD951" s="158"/>
      <c r="BE951" s="158"/>
      <c r="BF951" s="158"/>
      <c r="BG951" s="158"/>
      <c r="BH951" s="158"/>
      <c r="BI951" s="158"/>
      <c r="BJ951" s="158"/>
      <c r="BK951" s="158"/>
      <c r="BL951" s="158"/>
      <c r="BM951" s="158"/>
      <c r="BN951" s="158"/>
      <c r="BO951" s="158"/>
      <c r="BP951" s="158"/>
      <c r="BQ951" s="158"/>
      <c r="BR951" s="158"/>
    </row>
    <row r="952">
      <c r="A952" s="158"/>
      <c r="B952" s="231"/>
      <c r="C952" s="242"/>
      <c r="D952" s="242"/>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c r="AW952" s="158"/>
      <c r="AX952" s="158"/>
      <c r="AY952" s="158"/>
      <c r="AZ952" s="158"/>
      <c r="BA952" s="158"/>
      <c r="BB952" s="158"/>
      <c r="BC952" s="158"/>
      <c r="BD952" s="158"/>
      <c r="BE952" s="158"/>
      <c r="BF952" s="158"/>
      <c r="BG952" s="158"/>
      <c r="BH952" s="158"/>
      <c r="BI952" s="158"/>
      <c r="BJ952" s="158"/>
      <c r="BK952" s="158"/>
      <c r="BL952" s="158"/>
      <c r="BM952" s="158"/>
      <c r="BN952" s="158"/>
      <c r="BO952" s="158"/>
      <c r="BP952" s="158"/>
      <c r="BQ952" s="158"/>
      <c r="BR952" s="158"/>
    </row>
    <row r="953">
      <c r="A953" s="158"/>
      <c r="B953" s="231"/>
      <c r="C953" s="242"/>
      <c r="D953" s="242"/>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c r="AW953" s="158"/>
      <c r="AX953" s="158"/>
      <c r="AY953" s="158"/>
      <c r="AZ953" s="158"/>
      <c r="BA953" s="158"/>
      <c r="BB953" s="158"/>
      <c r="BC953" s="158"/>
      <c r="BD953" s="158"/>
      <c r="BE953" s="158"/>
      <c r="BF953" s="158"/>
      <c r="BG953" s="158"/>
      <c r="BH953" s="158"/>
      <c r="BI953" s="158"/>
      <c r="BJ953" s="158"/>
      <c r="BK953" s="158"/>
      <c r="BL953" s="158"/>
      <c r="BM953" s="158"/>
      <c r="BN953" s="158"/>
      <c r="BO953" s="158"/>
      <c r="BP953" s="158"/>
      <c r="BQ953" s="158"/>
      <c r="BR953" s="158"/>
    </row>
    <row r="954">
      <c r="A954" s="158"/>
      <c r="B954" s="231"/>
      <c r="C954" s="242"/>
      <c r="D954" s="242"/>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c r="AW954" s="158"/>
      <c r="AX954" s="158"/>
      <c r="AY954" s="158"/>
      <c r="AZ954" s="158"/>
      <c r="BA954" s="158"/>
      <c r="BB954" s="158"/>
      <c r="BC954" s="158"/>
      <c r="BD954" s="158"/>
      <c r="BE954" s="158"/>
      <c r="BF954" s="158"/>
      <c r="BG954" s="158"/>
      <c r="BH954" s="158"/>
      <c r="BI954" s="158"/>
      <c r="BJ954" s="158"/>
      <c r="BK954" s="158"/>
      <c r="BL954" s="158"/>
      <c r="BM954" s="158"/>
      <c r="BN954" s="158"/>
      <c r="BO954" s="158"/>
      <c r="BP954" s="158"/>
      <c r="BQ954" s="158"/>
      <c r="BR954" s="158"/>
    </row>
    <row r="955">
      <c r="A955" s="158"/>
      <c r="B955" s="231"/>
      <c r="C955" s="242"/>
      <c r="D955" s="242"/>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c r="AW955" s="158"/>
      <c r="AX955" s="158"/>
      <c r="AY955" s="158"/>
      <c r="AZ955" s="158"/>
      <c r="BA955" s="158"/>
      <c r="BB955" s="158"/>
      <c r="BC955" s="158"/>
      <c r="BD955" s="158"/>
      <c r="BE955" s="158"/>
      <c r="BF955" s="158"/>
      <c r="BG955" s="158"/>
      <c r="BH955" s="158"/>
      <c r="BI955" s="158"/>
      <c r="BJ955" s="158"/>
      <c r="BK955" s="158"/>
      <c r="BL955" s="158"/>
      <c r="BM955" s="158"/>
      <c r="BN955" s="158"/>
      <c r="BO955" s="158"/>
      <c r="BP955" s="158"/>
      <c r="BQ955" s="158"/>
      <c r="BR955" s="158"/>
    </row>
    <row r="956">
      <c r="A956" s="158"/>
      <c r="B956" s="231"/>
      <c r="C956" s="242"/>
      <c r="D956" s="242"/>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c r="AW956" s="158"/>
      <c r="AX956" s="158"/>
      <c r="AY956" s="158"/>
      <c r="AZ956" s="158"/>
      <c r="BA956" s="158"/>
      <c r="BB956" s="158"/>
      <c r="BC956" s="158"/>
      <c r="BD956" s="158"/>
      <c r="BE956" s="158"/>
      <c r="BF956" s="158"/>
      <c r="BG956" s="158"/>
      <c r="BH956" s="158"/>
      <c r="BI956" s="158"/>
      <c r="BJ956" s="158"/>
      <c r="BK956" s="158"/>
      <c r="BL956" s="158"/>
      <c r="BM956" s="158"/>
      <c r="BN956" s="158"/>
      <c r="BO956" s="158"/>
      <c r="BP956" s="158"/>
      <c r="BQ956" s="158"/>
      <c r="BR956" s="158"/>
    </row>
    <row r="957">
      <c r="A957" s="158"/>
      <c r="B957" s="231"/>
      <c r="C957" s="242"/>
      <c r="D957" s="242"/>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c r="AW957" s="158"/>
      <c r="AX957" s="158"/>
      <c r="AY957" s="158"/>
      <c r="AZ957" s="158"/>
      <c r="BA957" s="158"/>
      <c r="BB957" s="158"/>
      <c r="BC957" s="158"/>
      <c r="BD957" s="158"/>
      <c r="BE957" s="158"/>
      <c r="BF957" s="158"/>
      <c r="BG957" s="158"/>
      <c r="BH957" s="158"/>
      <c r="BI957" s="158"/>
      <c r="BJ957" s="158"/>
      <c r="BK957" s="158"/>
      <c r="BL957" s="158"/>
      <c r="BM957" s="158"/>
      <c r="BN957" s="158"/>
      <c r="BO957" s="158"/>
      <c r="BP957" s="158"/>
      <c r="BQ957" s="158"/>
      <c r="BR957" s="158"/>
    </row>
    <row r="958">
      <c r="A958" s="158"/>
      <c r="B958" s="231"/>
      <c r="C958" s="242"/>
      <c r="D958" s="242"/>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c r="AW958" s="158"/>
      <c r="AX958" s="158"/>
      <c r="AY958" s="158"/>
      <c r="AZ958" s="158"/>
      <c r="BA958" s="158"/>
      <c r="BB958" s="158"/>
      <c r="BC958" s="158"/>
      <c r="BD958" s="158"/>
      <c r="BE958" s="158"/>
      <c r="BF958" s="158"/>
      <c r="BG958" s="158"/>
      <c r="BH958" s="158"/>
      <c r="BI958" s="158"/>
      <c r="BJ958" s="158"/>
      <c r="BK958" s="158"/>
      <c r="BL958" s="158"/>
      <c r="BM958" s="158"/>
      <c r="BN958" s="158"/>
      <c r="BO958" s="158"/>
      <c r="BP958" s="158"/>
      <c r="BQ958" s="158"/>
      <c r="BR958" s="158"/>
    </row>
    <row r="959">
      <c r="A959" s="158"/>
      <c r="B959" s="231"/>
      <c r="C959" s="242"/>
      <c r="D959" s="242"/>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c r="AW959" s="158"/>
      <c r="AX959" s="158"/>
      <c r="AY959" s="158"/>
      <c r="AZ959" s="158"/>
      <c r="BA959" s="158"/>
      <c r="BB959" s="158"/>
      <c r="BC959" s="158"/>
      <c r="BD959" s="158"/>
      <c r="BE959" s="158"/>
      <c r="BF959" s="158"/>
      <c r="BG959" s="158"/>
      <c r="BH959" s="158"/>
      <c r="BI959" s="158"/>
      <c r="BJ959" s="158"/>
      <c r="BK959" s="158"/>
      <c r="BL959" s="158"/>
      <c r="BM959" s="158"/>
      <c r="BN959" s="158"/>
      <c r="BO959" s="158"/>
      <c r="BP959" s="158"/>
      <c r="BQ959" s="158"/>
      <c r="BR959" s="158"/>
    </row>
    <row r="960">
      <c r="A960" s="158"/>
      <c r="B960" s="231"/>
      <c r="C960" s="242"/>
      <c r="D960" s="242"/>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c r="BF960" s="158"/>
      <c r="BG960" s="158"/>
      <c r="BH960" s="158"/>
      <c r="BI960" s="158"/>
      <c r="BJ960" s="158"/>
      <c r="BK960" s="158"/>
      <c r="BL960" s="158"/>
      <c r="BM960" s="158"/>
      <c r="BN960" s="158"/>
      <c r="BO960" s="158"/>
      <c r="BP960" s="158"/>
      <c r="BQ960" s="158"/>
      <c r="BR960" s="158"/>
    </row>
    <row r="961">
      <c r="A961" s="158"/>
      <c r="B961" s="231"/>
      <c r="C961" s="242"/>
      <c r="D961" s="242"/>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c r="BF961" s="158"/>
      <c r="BG961" s="158"/>
      <c r="BH961" s="158"/>
      <c r="BI961" s="158"/>
      <c r="BJ961" s="158"/>
      <c r="BK961" s="158"/>
      <c r="BL961" s="158"/>
      <c r="BM961" s="158"/>
      <c r="BN961" s="158"/>
      <c r="BO961" s="158"/>
      <c r="BP961" s="158"/>
      <c r="BQ961" s="158"/>
      <c r="BR961" s="158"/>
    </row>
    <row r="962">
      <c r="A962" s="158"/>
      <c r="B962" s="231"/>
      <c r="C962" s="242"/>
      <c r="D962" s="242"/>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c r="BF962" s="158"/>
      <c r="BG962" s="158"/>
      <c r="BH962" s="158"/>
      <c r="BI962" s="158"/>
      <c r="BJ962" s="158"/>
      <c r="BK962" s="158"/>
      <c r="BL962" s="158"/>
      <c r="BM962" s="158"/>
      <c r="BN962" s="158"/>
      <c r="BO962" s="158"/>
      <c r="BP962" s="158"/>
      <c r="BQ962" s="158"/>
      <c r="BR962" s="158"/>
    </row>
    <row r="963">
      <c r="A963" s="158"/>
      <c r="B963" s="231"/>
      <c r="C963" s="242"/>
      <c r="D963" s="242"/>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c r="BF963" s="158"/>
      <c r="BG963" s="158"/>
      <c r="BH963" s="158"/>
      <c r="BI963" s="158"/>
      <c r="BJ963" s="158"/>
      <c r="BK963" s="158"/>
      <c r="BL963" s="158"/>
      <c r="BM963" s="158"/>
      <c r="BN963" s="158"/>
      <c r="BO963" s="158"/>
      <c r="BP963" s="158"/>
      <c r="BQ963" s="158"/>
      <c r="BR963" s="158"/>
    </row>
    <row r="964">
      <c r="A964" s="158"/>
      <c r="B964" s="231"/>
      <c r="C964" s="242"/>
      <c r="D964" s="242"/>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c r="BF964" s="158"/>
      <c r="BG964" s="158"/>
      <c r="BH964" s="158"/>
      <c r="BI964" s="158"/>
      <c r="BJ964" s="158"/>
      <c r="BK964" s="158"/>
      <c r="BL964" s="158"/>
      <c r="BM964" s="158"/>
      <c r="BN964" s="158"/>
      <c r="BO964" s="158"/>
      <c r="BP964" s="158"/>
      <c r="BQ964" s="158"/>
      <c r="BR964" s="158"/>
    </row>
    <row r="965">
      <c r="A965" s="158"/>
      <c r="B965" s="231"/>
      <c r="C965" s="242"/>
      <c r="D965" s="242"/>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c r="BF965" s="158"/>
      <c r="BG965" s="158"/>
      <c r="BH965" s="158"/>
      <c r="BI965" s="158"/>
      <c r="BJ965" s="158"/>
      <c r="BK965" s="158"/>
      <c r="BL965" s="158"/>
      <c r="BM965" s="158"/>
      <c r="BN965" s="158"/>
      <c r="BO965" s="158"/>
      <c r="BP965" s="158"/>
      <c r="BQ965" s="158"/>
      <c r="BR965" s="158"/>
    </row>
    <row r="966">
      <c r="A966" s="158"/>
      <c r="B966" s="231"/>
      <c r="C966" s="242"/>
      <c r="D966" s="242"/>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c r="AW966" s="158"/>
      <c r="AX966" s="158"/>
      <c r="AY966" s="158"/>
      <c r="AZ966" s="158"/>
      <c r="BA966" s="158"/>
      <c r="BB966" s="158"/>
      <c r="BC966" s="158"/>
      <c r="BD966" s="158"/>
      <c r="BE966" s="158"/>
      <c r="BF966" s="158"/>
      <c r="BG966" s="158"/>
      <c r="BH966" s="158"/>
      <c r="BI966" s="158"/>
      <c r="BJ966" s="158"/>
      <c r="BK966" s="158"/>
      <c r="BL966" s="158"/>
      <c r="BM966" s="158"/>
      <c r="BN966" s="158"/>
      <c r="BO966" s="158"/>
      <c r="BP966" s="158"/>
      <c r="BQ966" s="158"/>
      <c r="BR966" s="158"/>
    </row>
    <row r="967">
      <c r="A967" s="158"/>
      <c r="B967" s="231"/>
      <c r="C967" s="242"/>
      <c r="D967" s="242"/>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c r="BF967" s="158"/>
      <c r="BG967" s="158"/>
      <c r="BH967" s="158"/>
      <c r="BI967" s="158"/>
      <c r="BJ967" s="158"/>
      <c r="BK967" s="158"/>
      <c r="BL967" s="158"/>
      <c r="BM967" s="158"/>
      <c r="BN967" s="158"/>
      <c r="BO967" s="158"/>
      <c r="BP967" s="158"/>
      <c r="BQ967" s="158"/>
      <c r="BR967" s="158"/>
    </row>
    <row r="968">
      <c r="A968" s="158"/>
      <c r="B968" s="231"/>
      <c r="C968" s="242"/>
      <c r="D968" s="242"/>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c r="BF968" s="158"/>
      <c r="BG968" s="158"/>
      <c r="BH968" s="158"/>
      <c r="BI968" s="158"/>
      <c r="BJ968" s="158"/>
      <c r="BK968" s="158"/>
      <c r="BL968" s="158"/>
      <c r="BM968" s="158"/>
      <c r="BN968" s="158"/>
      <c r="BO968" s="158"/>
      <c r="BP968" s="158"/>
      <c r="BQ968" s="158"/>
      <c r="BR968" s="158"/>
    </row>
    <row r="969">
      <c r="A969" s="158"/>
      <c r="B969" s="231"/>
      <c r="C969" s="242"/>
      <c r="D969" s="242"/>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c r="BF969" s="158"/>
      <c r="BG969" s="158"/>
      <c r="BH969" s="158"/>
      <c r="BI969" s="158"/>
      <c r="BJ969" s="158"/>
      <c r="BK969" s="158"/>
      <c r="BL969" s="158"/>
      <c r="BM969" s="158"/>
      <c r="BN969" s="158"/>
      <c r="BO969" s="158"/>
      <c r="BP969" s="158"/>
      <c r="BQ969" s="158"/>
      <c r="BR969" s="158"/>
    </row>
    <row r="970">
      <c r="A970" s="158"/>
      <c r="B970" s="231"/>
      <c r="C970" s="242"/>
      <c r="D970" s="242"/>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c r="BF970" s="158"/>
      <c r="BG970" s="158"/>
      <c r="BH970" s="158"/>
      <c r="BI970" s="158"/>
      <c r="BJ970" s="158"/>
      <c r="BK970" s="158"/>
      <c r="BL970" s="158"/>
      <c r="BM970" s="158"/>
      <c r="BN970" s="158"/>
      <c r="BO970" s="158"/>
      <c r="BP970" s="158"/>
      <c r="BQ970" s="158"/>
      <c r="BR970" s="158"/>
    </row>
    <row r="971">
      <c r="A971" s="158"/>
      <c r="B971" s="231"/>
      <c r="C971" s="242"/>
      <c r="D971" s="242"/>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c r="BF971" s="158"/>
      <c r="BG971" s="158"/>
      <c r="BH971" s="158"/>
      <c r="BI971" s="158"/>
      <c r="BJ971" s="158"/>
      <c r="BK971" s="158"/>
      <c r="BL971" s="158"/>
      <c r="BM971" s="158"/>
      <c r="BN971" s="158"/>
      <c r="BO971" s="158"/>
      <c r="BP971" s="158"/>
      <c r="BQ971" s="158"/>
      <c r="BR971" s="158"/>
    </row>
    <row r="972">
      <c r="A972" s="158"/>
      <c r="B972" s="231"/>
      <c r="C972" s="242"/>
      <c r="D972" s="242"/>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c r="BF972" s="158"/>
      <c r="BG972" s="158"/>
      <c r="BH972" s="158"/>
      <c r="BI972" s="158"/>
      <c r="BJ972" s="158"/>
      <c r="BK972" s="158"/>
      <c r="BL972" s="158"/>
      <c r="BM972" s="158"/>
      <c r="BN972" s="158"/>
      <c r="BO972" s="158"/>
      <c r="BP972" s="158"/>
      <c r="BQ972" s="158"/>
      <c r="BR972" s="158"/>
    </row>
    <row r="973">
      <c r="A973" s="158"/>
      <c r="B973" s="231"/>
      <c r="C973" s="242"/>
      <c r="D973" s="242"/>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c r="BF973" s="158"/>
      <c r="BG973" s="158"/>
      <c r="BH973" s="158"/>
      <c r="BI973" s="158"/>
      <c r="BJ973" s="158"/>
      <c r="BK973" s="158"/>
      <c r="BL973" s="158"/>
      <c r="BM973" s="158"/>
      <c r="BN973" s="158"/>
      <c r="BO973" s="158"/>
      <c r="BP973" s="158"/>
      <c r="BQ973" s="158"/>
      <c r="BR973" s="158"/>
    </row>
    <row r="974">
      <c r="A974" s="158"/>
      <c r="B974" s="231"/>
      <c r="C974" s="242"/>
      <c r="D974" s="242"/>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c r="BF974" s="158"/>
      <c r="BG974" s="158"/>
      <c r="BH974" s="158"/>
      <c r="BI974" s="158"/>
      <c r="BJ974" s="158"/>
      <c r="BK974" s="158"/>
      <c r="BL974" s="158"/>
      <c r="BM974" s="158"/>
      <c r="BN974" s="158"/>
      <c r="BO974" s="158"/>
      <c r="BP974" s="158"/>
      <c r="BQ974" s="158"/>
      <c r="BR974" s="158"/>
    </row>
    <row r="975">
      <c r="A975" s="158"/>
      <c r="B975" s="231"/>
      <c r="C975" s="242"/>
      <c r="D975" s="242"/>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c r="BF975" s="158"/>
      <c r="BG975" s="158"/>
      <c r="BH975" s="158"/>
      <c r="BI975" s="158"/>
      <c r="BJ975" s="158"/>
      <c r="BK975" s="158"/>
      <c r="BL975" s="158"/>
      <c r="BM975" s="158"/>
      <c r="BN975" s="158"/>
      <c r="BO975" s="158"/>
      <c r="BP975" s="158"/>
      <c r="BQ975" s="158"/>
      <c r="BR975" s="158"/>
    </row>
    <row r="976">
      <c r="A976" s="158"/>
      <c r="B976" s="231"/>
      <c r="C976" s="242"/>
      <c r="D976" s="242"/>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c r="BF976" s="158"/>
      <c r="BG976" s="158"/>
      <c r="BH976" s="158"/>
      <c r="BI976" s="158"/>
      <c r="BJ976" s="158"/>
      <c r="BK976" s="158"/>
      <c r="BL976" s="158"/>
      <c r="BM976" s="158"/>
      <c r="BN976" s="158"/>
      <c r="BO976" s="158"/>
      <c r="BP976" s="158"/>
      <c r="BQ976" s="158"/>
      <c r="BR976" s="158"/>
    </row>
    <row r="977">
      <c r="A977" s="158"/>
      <c r="B977" s="231"/>
      <c r="C977" s="242"/>
      <c r="D977" s="242"/>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c r="AW977" s="158"/>
      <c r="AX977" s="158"/>
      <c r="AY977" s="158"/>
      <c r="AZ977" s="158"/>
      <c r="BA977" s="158"/>
      <c r="BB977" s="158"/>
      <c r="BC977" s="158"/>
      <c r="BD977" s="158"/>
      <c r="BE977" s="158"/>
      <c r="BF977" s="158"/>
      <c r="BG977" s="158"/>
      <c r="BH977" s="158"/>
      <c r="BI977" s="158"/>
      <c r="BJ977" s="158"/>
      <c r="BK977" s="158"/>
      <c r="BL977" s="158"/>
      <c r="BM977" s="158"/>
      <c r="BN977" s="158"/>
      <c r="BO977" s="158"/>
      <c r="BP977" s="158"/>
      <c r="BQ977" s="158"/>
      <c r="BR977" s="158"/>
    </row>
    <row r="978">
      <c r="A978" s="158"/>
      <c r="B978" s="231"/>
      <c r="C978" s="242"/>
      <c r="D978" s="242"/>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c r="AW978" s="158"/>
      <c r="AX978" s="158"/>
      <c r="AY978" s="158"/>
      <c r="AZ978" s="158"/>
      <c r="BA978" s="158"/>
      <c r="BB978" s="158"/>
      <c r="BC978" s="158"/>
      <c r="BD978" s="158"/>
      <c r="BE978" s="158"/>
      <c r="BF978" s="158"/>
      <c r="BG978" s="158"/>
      <c r="BH978" s="158"/>
      <c r="BI978" s="158"/>
      <c r="BJ978" s="158"/>
      <c r="BK978" s="158"/>
      <c r="BL978" s="158"/>
      <c r="BM978" s="158"/>
      <c r="BN978" s="158"/>
      <c r="BO978" s="158"/>
      <c r="BP978" s="158"/>
      <c r="BQ978" s="158"/>
      <c r="BR978" s="158"/>
    </row>
    <row r="979">
      <c r="A979" s="158"/>
      <c r="B979" s="231"/>
      <c r="C979" s="242"/>
      <c r="D979" s="242"/>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c r="AW979" s="158"/>
      <c r="AX979" s="158"/>
      <c r="AY979" s="158"/>
      <c r="AZ979" s="158"/>
      <c r="BA979" s="158"/>
      <c r="BB979" s="158"/>
      <c r="BC979" s="158"/>
      <c r="BD979" s="158"/>
      <c r="BE979" s="158"/>
      <c r="BF979" s="158"/>
      <c r="BG979" s="158"/>
      <c r="BH979" s="158"/>
      <c r="BI979" s="158"/>
      <c r="BJ979" s="158"/>
      <c r="BK979" s="158"/>
      <c r="BL979" s="158"/>
      <c r="BM979" s="158"/>
      <c r="BN979" s="158"/>
      <c r="BO979" s="158"/>
      <c r="BP979" s="158"/>
      <c r="BQ979" s="158"/>
      <c r="BR979" s="158"/>
    </row>
    <row r="980">
      <c r="A980" s="158"/>
      <c r="B980" s="231"/>
      <c r="C980" s="242"/>
      <c r="D980" s="242"/>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c r="AW980" s="158"/>
      <c r="AX980" s="158"/>
      <c r="AY980" s="158"/>
      <c r="AZ980" s="158"/>
      <c r="BA980" s="158"/>
      <c r="BB980" s="158"/>
      <c r="BC980" s="158"/>
      <c r="BD980" s="158"/>
      <c r="BE980" s="158"/>
      <c r="BF980" s="158"/>
      <c r="BG980" s="158"/>
      <c r="BH980" s="158"/>
      <c r="BI980" s="158"/>
      <c r="BJ980" s="158"/>
      <c r="BK980" s="158"/>
      <c r="BL980" s="158"/>
      <c r="BM980" s="158"/>
      <c r="BN980" s="158"/>
      <c r="BO980" s="158"/>
      <c r="BP980" s="158"/>
      <c r="BQ980" s="158"/>
      <c r="BR980" s="158"/>
    </row>
    <row r="981">
      <c r="A981" s="158"/>
      <c r="B981" s="231"/>
      <c r="C981" s="242"/>
      <c r="D981" s="242"/>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c r="AW981" s="158"/>
      <c r="AX981" s="158"/>
      <c r="AY981" s="158"/>
      <c r="AZ981" s="158"/>
      <c r="BA981" s="158"/>
      <c r="BB981" s="158"/>
      <c r="BC981" s="158"/>
      <c r="BD981" s="158"/>
      <c r="BE981" s="158"/>
      <c r="BF981" s="158"/>
      <c r="BG981" s="158"/>
      <c r="BH981" s="158"/>
      <c r="BI981" s="158"/>
      <c r="BJ981" s="158"/>
      <c r="BK981" s="158"/>
      <c r="BL981" s="158"/>
      <c r="BM981" s="158"/>
      <c r="BN981" s="158"/>
      <c r="BO981" s="158"/>
      <c r="BP981" s="158"/>
      <c r="BQ981" s="158"/>
      <c r="BR981" s="158"/>
    </row>
    <row r="982">
      <c r="A982" s="158"/>
      <c r="B982" s="231"/>
      <c r="C982" s="242"/>
      <c r="D982" s="242"/>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c r="AW982" s="158"/>
      <c r="AX982" s="158"/>
      <c r="AY982" s="158"/>
      <c r="AZ982" s="158"/>
      <c r="BA982" s="158"/>
      <c r="BB982" s="158"/>
      <c r="BC982" s="158"/>
      <c r="BD982" s="158"/>
      <c r="BE982" s="158"/>
      <c r="BF982" s="158"/>
      <c r="BG982" s="158"/>
      <c r="BH982" s="158"/>
      <c r="BI982" s="158"/>
      <c r="BJ982" s="158"/>
      <c r="BK982" s="158"/>
      <c r="BL982" s="158"/>
      <c r="BM982" s="158"/>
      <c r="BN982" s="158"/>
      <c r="BO982" s="158"/>
      <c r="BP982" s="158"/>
      <c r="BQ982" s="158"/>
      <c r="BR982" s="158"/>
    </row>
    <row r="983">
      <c r="A983" s="158"/>
      <c r="B983" s="231"/>
      <c r="C983" s="242"/>
      <c r="D983" s="242"/>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c r="AW983" s="158"/>
      <c r="AX983" s="158"/>
      <c r="AY983" s="158"/>
      <c r="AZ983" s="158"/>
      <c r="BA983" s="158"/>
      <c r="BB983" s="158"/>
      <c r="BC983" s="158"/>
      <c r="BD983" s="158"/>
      <c r="BE983" s="158"/>
      <c r="BF983" s="158"/>
      <c r="BG983" s="158"/>
      <c r="BH983" s="158"/>
      <c r="BI983" s="158"/>
      <c r="BJ983" s="158"/>
      <c r="BK983" s="158"/>
      <c r="BL983" s="158"/>
      <c r="BM983" s="158"/>
      <c r="BN983" s="158"/>
      <c r="BO983" s="158"/>
      <c r="BP983" s="158"/>
      <c r="BQ983" s="158"/>
      <c r="BR983" s="158"/>
    </row>
    <row r="984">
      <c r="A984" s="158"/>
      <c r="B984" s="231"/>
      <c r="C984" s="242"/>
      <c r="D984" s="242"/>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c r="AW984" s="158"/>
      <c r="AX984" s="158"/>
      <c r="AY984" s="158"/>
      <c r="AZ984" s="158"/>
      <c r="BA984" s="158"/>
      <c r="BB984" s="158"/>
      <c r="BC984" s="158"/>
      <c r="BD984" s="158"/>
      <c r="BE984" s="158"/>
      <c r="BF984" s="158"/>
      <c r="BG984" s="158"/>
      <c r="BH984" s="158"/>
      <c r="BI984" s="158"/>
      <c r="BJ984" s="158"/>
      <c r="BK984" s="158"/>
      <c r="BL984" s="158"/>
      <c r="BM984" s="158"/>
      <c r="BN984" s="158"/>
      <c r="BO984" s="158"/>
      <c r="BP984" s="158"/>
      <c r="BQ984" s="158"/>
      <c r="BR984" s="158"/>
    </row>
    <row r="985">
      <c r="A985" s="158"/>
      <c r="B985" s="231"/>
      <c r="C985" s="242"/>
      <c r="D985" s="242"/>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c r="AW985" s="158"/>
      <c r="AX985" s="158"/>
      <c r="AY985" s="158"/>
      <c r="AZ985" s="158"/>
      <c r="BA985" s="158"/>
      <c r="BB985" s="158"/>
      <c r="BC985" s="158"/>
      <c r="BD985" s="158"/>
      <c r="BE985" s="158"/>
      <c r="BF985" s="158"/>
      <c r="BG985" s="158"/>
      <c r="BH985" s="158"/>
      <c r="BI985" s="158"/>
      <c r="BJ985" s="158"/>
      <c r="BK985" s="158"/>
      <c r="BL985" s="158"/>
      <c r="BM985" s="158"/>
      <c r="BN985" s="158"/>
      <c r="BO985" s="158"/>
      <c r="BP985" s="158"/>
      <c r="BQ985" s="158"/>
      <c r="BR985" s="158"/>
    </row>
    <row r="986">
      <c r="A986" s="158"/>
      <c r="B986" s="231"/>
      <c r="C986" s="242"/>
      <c r="D986" s="242"/>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c r="AW986" s="158"/>
      <c r="AX986" s="158"/>
      <c r="AY986" s="158"/>
      <c r="AZ986" s="158"/>
      <c r="BA986" s="158"/>
      <c r="BB986" s="158"/>
      <c r="BC986" s="158"/>
      <c r="BD986" s="158"/>
      <c r="BE986" s="158"/>
      <c r="BF986" s="158"/>
      <c r="BG986" s="158"/>
      <c r="BH986" s="158"/>
      <c r="BI986" s="158"/>
      <c r="BJ986" s="158"/>
      <c r="BK986" s="158"/>
      <c r="BL986" s="158"/>
      <c r="BM986" s="158"/>
      <c r="BN986" s="158"/>
      <c r="BO986" s="158"/>
      <c r="BP986" s="158"/>
      <c r="BQ986" s="158"/>
      <c r="BR986" s="158"/>
    </row>
    <row r="987">
      <c r="A987" s="158"/>
      <c r="B987" s="231"/>
      <c r="C987" s="242"/>
      <c r="D987" s="242"/>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c r="AW987" s="158"/>
      <c r="AX987" s="158"/>
      <c r="AY987" s="158"/>
      <c r="AZ987" s="158"/>
      <c r="BA987" s="158"/>
      <c r="BB987" s="158"/>
      <c r="BC987" s="158"/>
      <c r="BD987" s="158"/>
      <c r="BE987" s="158"/>
      <c r="BF987" s="158"/>
      <c r="BG987" s="158"/>
      <c r="BH987" s="158"/>
      <c r="BI987" s="158"/>
      <c r="BJ987" s="158"/>
      <c r="BK987" s="158"/>
      <c r="BL987" s="158"/>
      <c r="BM987" s="158"/>
      <c r="BN987" s="158"/>
      <c r="BO987" s="158"/>
      <c r="BP987" s="158"/>
      <c r="BQ987" s="158"/>
      <c r="BR987" s="158"/>
    </row>
    <row r="988">
      <c r="A988" s="158"/>
      <c r="B988" s="231"/>
      <c r="C988" s="242"/>
      <c r="D988" s="242"/>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c r="AW988" s="158"/>
      <c r="AX988" s="158"/>
      <c r="AY988" s="158"/>
      <c r="AZ988" s="158"/>
      <c r="BA988" s="158"/>
      <c r="BB988" s="158"/>
      <c r="BC988" s="158"/>
      <c r="BD988" s="158"/>
      <c r="BE988" s="158"/>
      <c r="BF988" s="158"/>
      <c r="BG988" s="158"/>
      <c r="BH988" s="158"/>
      <c r="BI988" s="158"/>
      <c r="BJ988" s="158"/>
      <c r="BK988" s="158"/>
      <c r="BL988" s="158"/>
      <c r="BM988" s="158"/>
      <c r="BN988" s="158"/>
      <c r="BO988" s="158"/>
      <c r="BP988" s="158"/>
      <c r="BQ988" s="158"/>
      <c r="BR988" s="158"/>
    </row>
    <row r="989">
      <c r="A989" s="158"/>
      <c r="B989" s="231"/>
      <c r="C989" s="242"/>
      <c r="D989" s="242"/>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c r="AW989" s="158"/>
      <c r="AX989" s="158"/>
      <c r="AY989" s="158"/>
      <c r="AZ989" s="158"/>
      <c r="BA989" s="158"/>
      <c r="BB989" s="158"/>
      <c r="BC989" s="158"/>
      <c r="BD989" s="158"/>
      <c r="BE989" s="158"/>
      <c r="BF989" s="158"/>
      <c r="BG989" s="158"/>
      <c r="BH989" s="158"/>
      <c r="BI989" s="158"/>
      <c r="BJ989" s="158"/>
      <c r="BK989" s="158"/>
      <c r="BL989" s="158"/>
      <c r="BM989" s="158"/>
      <c r="BN989" s="158"/>
      <c r="BO989" s="158"/>
      <c r="BP989" s="158"/>
      <c r="BQ989" s="158"/>
      <c r="BR989" s="158"/>
    </row>
    <row r="990">
      <c r="A990" s="158"/>
      <c r="B990" s="231"/>
      <c r="C990" s="242"/>
      <c r="D990" s="242"/>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c r="AW990" s="158"/>
      <c r="AX990" s="158"/>
      <c r="AY990" s="158"/>
      <c r="AZ990" s="158"/>
      <c r="BA990" s="158"/>
      <c r="BB990" s="158"/>
      <c r="BC990" s="158"/>
      <c r="BD990" s="158"/>
      <c r="BE990" s="158"/>
      <c r="BF990" s="158"/>
      <c r="BG990" s="158"/>
      <c r="BH990" s="158"/>
      <c r="BI990" s="158"/>
      <c r="BJ990" s="158"/>
      <c r="BK990" s="158"/>
      <c r="BL990" s="158"/>
      <c r="BM990" s="158"/>
      <c r="BN990" s="158"/>
      <c r="BO990" s="158"/>
      <c r="BP990" s="158"/>
      <c r="BQ990" s="158"/>
      <c r="BR990" s="158"/>
    </row>
    <row r="991">
      <c r="A991" s="158"/>
      <c r="B991" s="231"/>
      <c r="C991" s="242"/>
      <c r="D991" s="242"/>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c r="AW991" s="158"/>
      <c r="AX991" s="158"/>
      <c r="AY991" s="158"/>
      <c r="AZ991" s="158"/>
      <c r="BA991" s="158"/>
      <c r="BB991" s="158"/>
      <c r="BC991" s="158"/>
      <c r="BD991" s="158"/>
      <c r="BE991" s="158"/>
      <c r="BF991" s="158"/>
      <c r="BG991" s="158"/>
      <c r="BH991" s="158"/>
      <c r="BI991" s="158"/>
      <c r="BJ991" s="158"/>
      <c r="BK991" s="158"/>
      <c r="BL991" s="158"/>
      <c r="BM991" s="158"/>
      <c r="BN991" s="158"/>
      <c r="BO991" s="158"/>
      <c r="BP991" s="158"/>
      <c r="BQ991" s="158"/>
      <c r="BR991" s="158"/>
    </row>
    <row r="992">
      <c r="A992" s="158"/>
      <c r="B992" s="231"/>
      <c r="C992" s="242"/>
      <c r="D992" s="242"/>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c r="AW992" s="158"/>
      <c r="AX992" s="158"/>
      <c r="AY992" s="158"/>
      <c r="AZ992" s="158"/>
      <c r="BA992" s="158"/>
      <c r="BB992" s="158"/>
      <c r="BC992" s="158"/>
      <c r="BD992" s="158"/>
      <c r="BE992" s="158"/>
      <c r="BF992" s="158"/>
      <c r="BG992" s="158"/>
      <c r="BH992" s="158"/>
      <c r="BI992" s="158"/>
      <c r="BJ992" s="158"/>
      <c r="BK992" s="158"/>
      <c r="BL992" s="158"/>
      <c r="BM992" s="158"/>
      <c r="BN992" s="158"/>
      <c r="BO992" s="158"/>
      <c r="BP992" s="158"/>
      <c r="BQ992" s="158"/>
      <c r="BR992" s="158"/>
    </row>
    <row r="993">
      <c r="A993" s="158"/>
      <c r="B993" s="231"/>
      <c r="C993" s="242"/>
      <c r="D993" s="242"/>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c r="AW993" s="158"/>
      <c r="AX993" s="158"/>
      <c r="AY993" s="158"/>
      <c r="AZ993" s="158"/>
      <c r="BA993" s="158"/>
      <c r="BB993" s="158"/>
      <c r="BC993" s="158"/>
      <c r="BD993" s="158"/>
      <c r="BE993" s="158"/>
      <c r="BF993" s="158"/>
      <c r="BG993" s="158"/>
      <c r="BH993" s="158"/>
      <c r="BI993" s="158"/>
      <c r="BJ993" s="158"/>
      <c r="BK993" s="158"/>
      <c r="BL993" s="158"/>
      <c r="BM993" s="158"/>
      <c r="BN993" s="158"/>
      <c r="BO993" s="158"/>
      <c r="BP993" s="158"/>
      <c r="BQ993" s="158"/>
      <c r="BR993" s="158"/>
    </row>
    <row r="994">
      <c r="A994" s="158"/>
      <c r="B994" s="231"/>
      <c r="C994" s="242"/>
      <c r="D994" s="242"/>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c r="AW994" s="158"/>
      <c r="AX994" s="158"/>
      <c r="AY994" s="158"/>
      <c r="AZ994" s="158"/>
      <c r="BA994" s="158"/>
      <c r="BB994" s="158"/>
      <c r="BC994" s="158"/>
      <c r="BD994" s="158"/>
      <c r="BE994" s="158"/>
      <c r="BF994" s="158"/>
      <c r="BG994" s="158"/>
      <c r="BH994" s="158"/>
      <c r="BI994" s="158"/>
      <c r="BJ994" s="158"/>
      <c r="BK994" s="158"/>
      <c r="BL994" s="158"/>
      <c r="BM994" s="158"/>
      <c r="BN994" s="158"/>
      <c r="BO994" s="158"/>
      <c r="BP994" s="158"/>
      <c r="BQ994" s="158"/>
      <c r="BR994" s="158"/>
    </row>
    <row r="995">
      <c r="A995" s="158"/>
      <c r="B995" s="231"/>
      <c r="C995" s="242"/>
      <c r="D995" s="242"/>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c r="AW995" s="158"/>
      <c r="AX995" s="158"/>
      <c r="AY995" s="158"/>
      <c r="AZ995" s="158"/>
      <c r="BA995" s="158"/>
      <c r="BB995" s="158"/>
      <c r="BC995" s="158"/>
      <c r="BD995" s="158"/>
      <c r="BE995" s="158"/>
      <c r="BF995" s="158"/>
      <c r="BG995" s="158"/>
      <c r="BH995" s="158"/>
      <c r="BI995" s="158"/>
      <c r="BJ995" s="158"/>
      <c r="BK995" s="158"/>
      <c r="BL995" s="158"/>
      <c r="BM995" s="158"/>
      <c r="BN995" s="158"/>
      <c r="BO995" s="158"/>
      <c r="BP995" s="158"/>
      <c r="BQ995" s="158"/>
      <c r="BR995" s="158"/>
    </row>
    <row r="996">
      <c r="A996" s="158"/>
      <c r="B996" s="231"/>
      <c r="C996" s="242"/>
      <c r="D996" s="242"/>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c r="AW996" s="158"/>
      <c r="AX996" s="158"/>
      <c r="AY996" s="158"/>
      <c r="AZ996" s="158"/>
      <c r="BA996" s="158"/>
      <c r="BB996" s="158"/>
      <c r="BC996" s="158"/>
      <c r="BD996" s="158"/>
      <c r="BE996" s="158"/>
      <c r="BF996" s="158"/>
      <c r="BG996" s="158"/>
      <c r="BH996" s="158"/>
      <c r="BI996" s="158"/>
      <c r="BJ996" s="158"/>
      <c r="BK996" s="158"/>
      <c r="BL996" s="158"/>
      <c r="BM996" s="158"/>
      <c r="BN996" s="158"/>
      <c r="BO996" s="158"/>
      <c r="BP996" s="158"/>
      <c r="BQ996" s="158"/>
      <c r="BR996" s="158"/>
    </row>
    <row r="997">
      <c r="A997" s="158"/>
      <c r="B997" s="231"/>
      <c r="C997" s="242"/>
      <c r="D997" s="242"/>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c r="AW997" s="158"/>
      <c r="AX997" s="158"/>
      <c r="AY997" s="158"/>
      <c r="AZ997" s="158"/>
      <c r="BA997" s="158"/>
      <c r="BB997" s="158"/>
      <c r="BC997" s="158"/>
      <c r="BD997" s="158"/>
      <c r="BE997" s="158"/>
      <c r="BF997" s="158"/>
      <c r="BG997" s="158"/>
      <c r="BH997" s="158"/>
      <c r="BI997" s="158"/>
      <c r="BJ997" s="158"/>
      <c r="BK997" s="158"/>
      <c r="BL997" s="158"/>
      <c r="BM997" s="158"/>
      <c r="BN997" s="158"/>
      <c r="BO997" s="158"/>
      <c r="BP997" s="158"/>
      <c r="BQ997" s="158"/>
      <c r="BR997" s="158"/>
    </row>
    <row r="998">
      <c r="A998" s="158"/>
      <c r="B998" s="231"/>
      <c r="C998" s="242"/>
      <c r="D998" s="242"/>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c r="AW998" s="158"/>
      <c r="AX998" s="158"/>
      <c r="AY998" s="158"/>
      <c r="AZ998" s="158"/>
      <c r="BA998" s="158"/>
      <c r="BB998" s="158"/>
      <c r="BC998" s="158"/>
      <c r="BD998" s="158"/>
      <c r="BE998" s="158"/>
      <c r="BF998" s="158"/>
      <c r="BG998" s="158"/>
      <c r="BH998" s="158"/>
      <c r="BI998" s="158"/>
      <c r="BJ998" s="158"/>
      <c r="BK998" s="158"/>
      <c r="BL998" s="158"/>
      <c r="BM998" s="158"/>
      <c r="BN998" s="158"/>
      <c r="BO998" s="158"/>
      <c r="BP998" s="158"/>
      <c r="BQ998" s="158"/>
      <c r="BR998" s="158"/>
    </row>
    <row r="999">
      <c r="A999" s="158"/>
      <c r="B999" s="231"/>
      <c r="C999" s="242"/>
      <c r="D999" s="242"/>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c r="AW999" s="158"/>
      <c r="AX999" s="158"/>
      <c r="AY999" s="158"/>
      <c r="AZ999" s="158"/>
      <c r="BA999" s="158"/>
      <c r="BB999" s="158"/>
      <c r="BC999" s="158"/>
      <c r="BD999" s="158"/>
      <c r="BE999" s="158"/>
      <c r="BF999" s="158"/>
      <c r="BG999" s="158"/>
      <c r="BH999" s="158"/>
      <c r="BI999" s="158"/>
      <c r="BJ999" s="158"/>
      <c r="BK999" s="158"/>
      <c r="BL999" s="158"/>
      <c r="BM999" s="158"/>
      <c r="BN999" s="158"/>
      <c r="BO999" s="158"/>
      <c r="BP999" s="158"/>
      <c r="BQ999" s="158"/>
      <c r="BR999" s="158"/>
    </row>
    <row r="1000">
      <c r="A1000" s="158"/>
      <c r="B1000" s="231"/>
      <c r="C1000" s="242"/>
      <c r="D1000" s="242"/>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c r="AW1000" s="158"/>
      <c r="AX1000" s="158"/>
      <c r="AY1000" s="158"/>
      <c r="AZ1000" s="158"/>
      <c r="BA1000" s="158"/>
      <c r="BB1000" s="158"/>
      <c r="BC1000" s="158"/>
      <c r="BD1000" s="158"/>
      <c r="BE1000" s="158"/>
      <c r="BF1000" s="158"/>
      <c r="BG1000" s="158"/>
      <c r="BH1000" s="158"/>
      <c r="BI1000" s="158"/>
      <c r="BJ1000" s="158"/>
      <c r="BK1000" s="158"/>
      <c r="BL1000" s="158"/>
      <c r="BM1000" s="158"/>
      <c r="BN1000" s="158"/>
      <c r="BO1000" s="158"/>
      <c r="BP1000" s="158"/>
      <c r="BQ1000" s="158"/>
      <c r="BR1000" s="158"/>
    </row>
  </sheetData>
  <printOptions/>
  <pageMargins bottom="1.0" footer="0.0" header="0.0" left="0.75" right="0.75" top="1.0"/>
  <pageSetup orientation="portrait"/>
  <colBreaks count="1" manualBreakCount="1">
    <brk id="9"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outlineLevelRow="1"/>
  <cols>
    <col customWidth="1" min="1" max="1" width="2.71"/>
    <col customWidth="1" min="2" max="2" width="45.71"/>
    <col customWidth="1" hidden="1" min="3" max="3" width="7.43"/>
    <col customWidth="1" hidden="1" min="4" max="4" width="5.71"/>
    <col customWidth="1" min="5" max="9" width="12.43"/>
    <col customWidth="1" min="10" max="26" width="8.86"/>
  </cols>
  <sheetData>
    <row r="1" ht="14.25" customHeight="1">
      <c r="A1" s="158"/>
      <c r="B1" s="243" t="str">
        <f>Company_Name</f>
        <v>ABC Company</v>
      </c>
      <c r="C1" s="243"/>
      <c r="D1" s="243"/>
      <c r="E1" s="244" t="s">
        <v>51</v>
      </c>
    </row>
    <row r="2" ht="14.25" customHeight="1">
      <c r="A2" s="158"/>
      <c r="B2" s="243" t="s">
        <v>67</v>
      </c>
      <c r="C2" s="243"/>
      <c r="D2" s="243"/>
    </row>
    <row r="3" ht="14.25" customHeight="1">
      <c r="A3" s="158"/>
      <c r="E3" s="166" t="str">
        <f>'Input Assumptions'!E$17</f>
        <v>2024-2025</v>
      </c>
      <c r="F3" s="166" t="str">
        <f>'Input Assumptions'!F$17</f>
        <v>2025-2026</v>
      </c>
      <c r="G3" s="166" t="str">
        <f>'Input Assumptions'!G$17</f>
        <v>2026-2027</v>
      </c>
      <c r="H3" s="166" t="str">
        <f>'Input Assumptions'!H$17</f>
        <v>2027-2028</v>
      </c>
      <c r="I3" s="166" t="str">
        <f>'Input Assumptions'!I$17</f>
        <v>2028-2029</v>
      </c>
    </row>
    <row r="4" ht="14.25" customHeight="1">
      <c r="A4" s="158"/>
      <c r="B4" s="245" t="s">
        <v>253</v>
      </c>
      <c r="C4" s="245"/>
      <c r="D4" s="245"/>
      <c r="E4" s="41" t="str">
        <f>Model!E$12</f>
        <v>Year 1</v>
      </c>
      <c r="F4" s="41" t="str">
        <f>Model!F$12</f>
        <v>Year 2</v>
      </c>
      <c r="G4" s="41" t="str">
        <f>Model!G$12</f>
        <v>Year 3</v>
      </c>
      <c r="H4" s="41" t="str">
        <f>Model!H$12</f>
        <v>Year 4</v>
      </c>
      <c r="I4" s="41" t="str">
        <f>Model!I$12</f>
        <v>Year 5</v>
      </c>
    </row>
    <row r="5" ht="14.25" customHeight="1">
      <c r="A5" s="158"/>
      <c r="B5" s="246" t="s">
        <v>254</v>
      </c>
      <c r="C5" s="247"/>
      <c r="D5" s="247"/>
      <c r="E5" s="185"/>
      <c r="F5" s="185"/>
      <c r="G5" s="185"/>
      <c r="H5" s="185"/>
      <c r="I5" s="185"/>
    </row>
    <row r="6" ht="14.25" customHeight="1">
      <c r="A6" s="158"/>
      <c r="B6" s="25" t="s">
        <v>255</v>
      </c>
      <c r="E6" s="170">
        <f>SUM(Model!$E$139:E139)</f>
        <v>59850</v>
      </c>
      <c r="F6" s="170">
        <f>SUM(Model!$E$139:F139)</f>
        <v>59850</v>
      </c>
      <c r="G6" s="170">
        <f>SUM(Model!$E$139:G139)</f>
        <v>59850</v>
      </c>
      <c r="H6" s="170">
        <f>SUM(Model!$E$139:H139)</f>
        <v>59850</v>
      </c>
      <c r="I6" s="170">
        <f>SUM(Model!$E$139:I139)</f>
        <v>59850</v>
      </c>
    </row>
    <row r="7" ht="14.25" customHeight="1">
      <c r="A7" s="158"/>
      <c r="B7" s="47" t="s">
        <v>256</v>
      </c>
      <c r="C7" s="35"/>
      <c r="D7" s="35"/>
      <c r="E7" s="182">
        <f>SUM(Model!$E$136:E136)</f>
        <v>239400</v>
      </c>
      <c r="F7" s="182">
        <f>SUM(Model!$E$136:F136)</f>
        <v>239400</v>
      </c>
      <c r="G7" s="182">
        <f>SUM(Model!$E$136:G136)</f>
        <v>239400</v>
      </c>
      <c r="H7" s="182">
        <f>SUM(Model!$E$136:H136)</f>
        <v>239400</v>
      </c>
      <c r="I7" s="182">
        <f>SUM(Model!$E$136:I136)</f>
        <v>239400</v>
      </c>
    </row>
    <row r="8" ht="14.25" customHeight="1">
      <c r="A8" s="158"/>
      <c r="B8" s="25" t="s">
        <v>257</v>
      </c>
      <c r="C8" s="2"/>
      <c r="D8" s="2"/>
      <c r="E8" s="170">
        <f t="shared" ref="E8:I8" si="1">SUM(E6:E7)</f>
        <v>299250</v>
      </c>
      <c r="F8" s="170">
        <f t="shared" si="1"/>
        <v>299250</v>
      </c>
      <c r="G8" s="170">
        <f t="shared" si="1"/>
        <v>299250</v>
      </c>
      <c r="H8" s="170">
        <f t="shared" si="1"/>
        <v>299250</v>
      </c>
      <c r="I8" s="170">
        <f t="shared" si="1"/>
        <v>299250</v>
      </c>
    </row>
    <row r="9" ht="14.25" customHeight="1">
      <c r="A9" s="170"/>
      <c r="B9" s="25" t="s">
        <v>258</v>
      </c>
      <c r="E9" s="170">
        <f>SUM('Input Assumptions'!$E$38:E38)</f>
        <v>55000</v>
      </c>
      <c r="F9" s="170">
        <f>SUM('Input Assumptions'!$E$38:F38)</f>
        <v>55000</v>
      </c>
      <c r="G9" s="170">
        <f>SUM('Input Assumptions'!$E$38:G38)</f>
        <v>55000</v>
      </c>
      <c r="H9" s="170">
        <f>SUM('Input Assumptions'!$E$38:H38)</f>
        <v>55000</v>
      </c>
      <c r="I9" s="170">
        <f>SUM('Input Assumptions'!$E$38:I38)</f>
        <v>55000</v>
      </c>
    </row>
    <row r="10" ht="14.25" customHeight="1">
      <c r="A10" s="170"/>
      <c r="B10" s="47" t="s">
        <v>259</v>
      </c>
      <c r="C10" s="35"/>
      <c r="D10" s="35"/>
      <c r="E10" s="182">
        <f>Model!E$115</f>
        <v>-100859.9225</v>
      </c>
      <c r="F10" s="182">
        <f>Model!F$115</f>
        <v>-118478.3315</v>
      </c>
      <c r="G10" s="182">
        <f>Model!G$115</f>
        <v>-108926.6835</v>
      </c>
      <c r="H10" s="182">
        <f>Model!H$115</f>
        <v>-87763.9553</v>
      </c>
      <c r="I10" s="182">
        <f>Model!I$115</f>
        <v>-10809.48724</v>
      </c>
    </row>
    <row r="11" ht="14.25" customHeight="1">
      <c r="A11" s="170"/>
      <c r="B11" s="248" t="s">
        <v>260</v>
      </c>
      <c r="C11" s="248"/>
      <c r="D11" s="248"/>
      <c r="E11" s="249">
        <f t="shared" ref="E11:I11" si="2">SUM(E8,E9,E10)</f>
        <v>253390.0775</v>
      </c>
      <c r="F11" s="249">
        <f t="shared" si="2"/>
        <v>235771.6685</v>
      </c>
      <c r="G11" s="249">
        <f t="shared" si="2"/>
        <v>245323.3165</v>
      </c>
      <c r="H11" s="249">
        <f t="shared" si="2"/>
        <v>266486.0447</v>
      </c>
      <c r="I11" s="249">
        <f t="shared" si="2"/>
        <v>343440.5128</v>
      </c>
    </row>
    <row r="12" ht="14.25" customHeight="1">
      <c r="A12" s="170"/>
      <c r="E12" s="170"/>
      <c r="F12" s="170"/>
      <c r="G12" s="170"/>
      <c r="H12" s="170"/>
      <c r="I12" s="170"/>
    </row>
    <row r="13" ht="14.25" customHeight="1">
      <c r="A13" s="170"/>
      <c r="B13" s="5" t="s">
        <v>261</v>
      </c>
      <c r="C13" s="5"/>
      <c r="D13" s="5"/>
      <c r="E13" s="250">
        <f>Model!E$78</f>
        <v>-100859.9225</v>
      </c>
      <c r="F13" s="250">
        <f>Model!F$78</f>
        <v>-17618.40899</v>
      </c>
      <c r="G13" s="250">
        <f>Model!G$78</f>
        <v>9551.648035</v>
      </c>
      <c r="H13" s="250">
        <f>Model!H$78</f>
        <v>21162.7282</v>
      </c>
      <c r="I13" s="250">
        <f>Model!I$78</f>
        <v>76954.46806</v>
      </c>
    </row>
    <row r="14" ht="29.25" customHeight="1">
      <c r="A14" s="170"/>
      <c r="B14" s="251" t="s">
        <v>262</v>
      </c>
      <c r="C14" s="251"/>
      <c r="D14" s="251"/>
      <c r="E14" s="252">
        <f>E13-'Input Assumptions'!E38</f>
        <v>-155859.9225</v>
      </c>
      <c r="F14" s="252">
        <f>F13-'Input Assumptions'!F38</f>
        <v>-17618.40899</v>
      </c>
      <c r="G14" s="252">
        <f>G13-'Input Assumptions'!G38</f>
        <v>9551.648035</v>
      </c>
      <c r="H14" s="252">
        <f>H13-'Input Assumptions'!H38</f>
        <v>21162.7282</v>
      </c>
      <c r="I14" s="252">
        <f>I13-'Input Assumptions'!I38</f>
        <v>76954.46806</v>
      </c>
    </row>
    <row r="15" ht="14.25" hidden="1" customHeight="1" outlineLevel="1">
      <c r="A15" s="170"/>
      <c r="B15" s="5" t="s">
        <v>263</v>
      </c>
      <c r="C15" s="5"/>
      <c r="D15" s="5"/>
      <c r="E15" s="253">
        <f>Corp_Tax</f>
        <v>0.21</v>
      </c>
      <c r="F15" s="253">
        <f>Corp_Tax</f>
        <v>0.21</v>
      </c>
      <c r="G15" s="253">
        <f>Corp_Tax</f>
        <v>0.21</v>
      </c>
      <c r="H15" s="253">
        <f>Corp_Tax</f>
        <v>0.21</v>
      </c>
      <c r="I15" s="253">
        <f>Corp_Tax</f>
        <v>0.21</v>
      </c>
    </row>
    <row r="16" ht="14.25" hidden="1" customHeight="1" outlineLevel="1">
      <c r="A16" s="170"/>
      <c r="B16" s="35" t="s">
        <v>264</v>
      </c>
      <c r="C16" s="35"/>
      <c r="D16" s="35"/>
      <c r="E16" s="182">
        <f t="shared" ref="E16:I16" si="3">E13*E15</f>
        <v>-21180.58373</v>
      </c>
      <c r="F16" s="182">
        <f t="shared" si="3"/>
        <v>-3699.865888</v>
      </c>
      <c r="G16" s="182">
        <f t="shared" si="3"/>
        <v>2005.846087</v>
      </c>
      <c r="H16" s="182">
        <f t="shared" si="3"/>
        <v>4444.172923</v>
      </c>
      <c r="I16" s="182">
        <f t="shared" si="3"/>
        <v>16160.43829</v>
      </c>
    </row>
    <row r="17" ht="14.25" hidden="1" customHeight="1" outlineLevel="1">
      <c r="A17" s="170"/>
      <c r="B17" s="2" t="s">
        <v>265</v>
      </c>
      <c r="C17" s="2"/>
      <c r="D17" s="2"/>
      <c r="E17" s="175">
        <f t="shared" ref="E17:I17" si="4">E13-E16</f>
        <v>-79679.33881</v>
      </c>
      <c r="F17" s="175">
        <f t="shared" si="4"/>
        <v>-13918.5431</v>
      </c>
      <c r="G17" s="175">
        <f t="shared" si="4"/>
        <v>7545.801948</v>
      </c>
      <c r="H17" s="175">
        <f t="shared" si="4"/>
        <v>16718.55528</v>
      </c>
      <c r="I17" s="175">
        <f t="shared" si="4"/>
        <v>60794.02977</v>
      </c>
    </row>
    <row r="18" ht="14.25" customHeight="1" collapsed="1">
      <c r="A18" s="170"/>
    </row>
    <row r="19" ht="14.25" customHeight="1">
      <c r="A19" s="170"/>
      <c r="B19" s="254" t="s">
        <v>266</v>
      </c>
      <c r="C19" s="255"/>
      <c r="D19" s="255"/>
      <c r="E19" s="256">
        <f t="shared" ref="E19:I19" si="5">E14/E11</f>
        <v>-0.6150987604</v>
      </c>
      <c r="F19" s="256">
        <f t="shared" si="5"/>
        <v>-0.07472657384</v>
      </c>
      <c r="G19" s="256">
        <f t="shared" si="5"/>
        <v>0.03893493766</v>
      </c>
      <c r="H19" s="256">
        <f t="shared" si="5"/>
        <v>0.07941402045</v>
      </c>
      <c r="I19" s="256">
        <f t="shared" si="5"/>
        <v>0.224069279</v>
      </c>
    </row>
    <row r="20" ht="14.25" customHeight="1">
      <c r="A20" s="170"/>
      <c r="B20" s="257" t="s">
        <v>267</v>
      </c>
      <c r="C20" s="258"/>
      <c r="D20" s="258"/>
      <c r="E20" s="259">
        <f>'Balance Sheet'!E54</f>
        <v>48376.3972</v>
      </c>
      <c r="F20" s="259">
        <f>'Balance Sheet'!F54</f>
        <v>1654.072794</v>
      </c>
      <c r="G20" s="259">
        <f>'Balance Sheet'!G54</f>
        <v>18956.42668</v>
      </c>
      <c r="H20" s="259">
        <f>'Balance Sheet'!H54</f>
        <v>55120.349</v>
      </c>
      <c r="I20" s="259">
        <f>'Balance Sheet'!I54</f>
        <v>102145.3856</v>
      </c>
    </row>
    <row r="21" ht="14.25" customHeight="1">
      <c r="A21" s="170"/>
      <c r="B21" s="257" t="s">
        <v>224</v>
      </c>
      <c r="C21" s="257"/>
      <c r="D21" s="257"/>
      <c r="E21" s="260">
        <f>'Balance Sheet'!E57</f>
        <v>1.803313225</v>
      </c>
      <c r="F21" s="260">
        <f>'Balance Sheet'!F57</f>
        <v>0.04289637471</v>
      </c>
      <c r="G21" s="260">
        <f>'Balance Sheet'!G57</f>
        <v>0.4377220584</v>
      </c>
      <c r="H21" s="260">
        <f>'Balance Sheet'!H57</f>
        <v>1.170251093</v>
      </c>
      <c r="I21" s="260">
        <f>'Balance Sheet'!I57</f>
        <v>2.010037997</v>
      </c>
    </row>
    <row r="22" ht="14.25" customHeight="1">
      <c r="A22" s="250"/>
      <c r="B22" s="261" t="s">
        <v>268</v>
      </c>
      <c r="C22" s="4"/>
      <c r="D22" s="4"/>
      <c r="E22" s="262">
        <f>'Balance Sheet'!E58</f>
        <v>-5276.397603</v>
      </c>
      <c r="F22" s="262">
        <f>'Balance Sheet'!F58</f>
        <v>-75465.395</v>
      </c>
      <c r="G22" s="262">
        <f>'Balance Sheet'!G58</f>
        <v>-67657.56186</v>
      </c>
      <c r="H22" s="262">
        <f>'Balance Sheet'!H58</f>
        <v>-39082.25302</v>
      </c>
      <c r="I22" s="262">
        <f>'Balance Sheet'!I58</f>
        <v>510.1073061</v>
      </c>
      <c r="J22" s="4"/>
      <c r="K22" s="4"/>
      <c r="L22" s="4"/>
      <c r="M22" s="4"/>
      <c r="N22" s="4"/>
      <c r="O22" s="4"/>
      <c r="P22" s="4"/>
      <c r="Q22" s="4"/>
      <c r="R22" s="4"/>
      <c r="S22" s="4"/>
      <c r="T22" s="4"/>
      <c r="U22" s="4"/>
      <c r="V22" s="4"/>
      <c r="W22" s="4"/>
      <c r="X22" s="4"/>
      <c r="Y22" s="4"/>
      <c r="Z22" s="4"/>
    </row>
    <row r="23" ht="14.25" customHeight="1">
      <c r="A23" s="158"/>
    </row>
    <row r="24" ht="14.25" customHeight="1">
      <c r="A24" s="158"/>
    </row>
    <row r="25" ht="14.25" customHeight="1">
      <c r="A25" s="158"/>
    </row>
    <row r="26" ht="14.25" customHeight="1">
      <c r="A26" s="158"/>
    </row>
    <row r="27" ht="14.25" customHeight="1">
      <c r="A27" s="158"/>
    </row>
    <row r="28" ht="14.25" customHeight="1">
      <c r="A28" s="158"/>
    </row>
    <row r="29" ht="14.25" customHeight="1">
      <c r="A29" s="158"/>
    </row>
    <row r="30" ht="14.25" customHeight="1">
      <c r="A30" s="158"/>
    </row>
    <row r="31" ht="14.25" customHeight="1">
      <c r="A31" s="158"/>
    </row>
    <row r="32" ht="14.25" customHeight="1">
      <c r="A32" s="158"/>
    </row>
    <row r="33" ht="14.25" customHeight="1">
      <c r="A33" s="158"/>
    </row>
    <row r="34" ht="14.25" customHeight="1">
      <c r="A34" s="158"/>
    </row>
    <row r="35" ht="14.25" customHeight="1">
      <c r="A35" s="158"/>
    </row>
    <row r="36" ht="14.25" customHeight="1">
      <c r="A36" s="158"/>
    </row>
    <row r="37" ht="14.25" customHeight="1">
      <c r="A37" s="158"/>
    </row>
    <row r="38" ht="14.25" customHeight="1">
      <c r="A38" s="158"/>
    </row>
    <row r="39" ht="14.25" customHeight="1">
      <c r="A39" s="158"/>
    </row>
    <row r="40" ht="14.25" customHeight="1">
      <c r="A40" s="158"/>
    </row>
    <row r="41" ht="14.25" customHeight="1">
      <c r="A41" s="158"/>
    </row>
    <row r="42" ht="14.25" customHeight="1">
      <c r="A42" s="158"/>
    </row>
    <row r="43" ht="14.25" customHeight="1">
      <c r="A43" s="158"/>
    </row>
    <row r="44" ht="14.25" customHeight="1">
      <c r="A44" s="158"/>
    </row>
    <row r="45" ht="14.25" customHeight="1">
      <c r="A45" s="158"/>
    </row>
    <row r="46" ht="14.25" customHeight="1">
      <c r="A46" s="158"/>
    </row>
    <row r="47" ht="14.25" customHeight="1">
      <c r="A47" s="158"/>
    </row>
    <row r="48" ht="14.25" customHeight="1">
      <c r="A48" s="158"/>
    </row>
    <row r="49" ht="14.25" customHeight="1">
      <c r="A49" s="158"/>
    </row>
    <row r="50" ht="14.25" customHeight="1">
      <c r="A50" s="158"/>
    </row>
    <row r="51" ht="14.25" customHeight="1">
      <c r="A51" s="158"/>
    </row>
    <row r="52" ht="14.25" customHeight="1">
      <c r="A52" s="158"/>
    </row>
    <row r="53" ht="14.25" customHeight="1">
      <c r="A53" s="158"/>
    </row>
    <row r="54" ht="14.25" customHeight="1">
      <c r="A54" s="158"/>
    </row>
    <row r="55" ht="14.25" customHeight="1">
      <c r="A55" s="158"/>
    </row>
    <row r="56" ht="14.25" customHeight="1">
      <c r="A56" s="158"/>
    </row>
    <row r="57" ht="14.25" customHeight="1">
      <c r="A57" s="158"/>
    </row>
    <row r="58" ht="14.25" customHeight="1">
      <c r="A58" s="158"/>
    </row>
    <row r="59" ht="14.25" customHeight="1">
      <c r="A59" s="158"/>
    </row>
    <row r="60" ht="14.25" customHeight="1">
      <c r="A60" s="158"/>
    </row>
    <row r="61" ht="14.25" customHeight="1">
      <c r="A61" s="158"/>
    </row>
    <row r="62" ht="14.25" customHeight="1">
      <c r="A62" s="158"/>
    </row>
    <row r="63" ht="14.25" customHeight="1">
      <c r="A63" s="158"/>
    </row>
    <row r="64" ht="14.25" customHeight="1">
      <c r="A64" s="158"/>
    </row>
    <row r="65" ht="14.25" customHeight="1">
      <c r="A65" s="158"/>
    </row>
    <row r="66" ht="14.25" customHeight="1">
      <c r="A66" s="158"/>
    </row>
    <row r="67" ht="14.25" customHeight="1">
      <c r="A67" s="158"/>
    </row>
    <row r="68" ht="14.25" customHeight="1">
      <c r="A68" s="158"/>
    </row>
    <row r="69" ht="14.25" customHeight="1">
      <c r="A69" s="158"/>
    </row>
    <row r="70" ht="14.25" customHeight="1">
      <c r="A70" s="158"/>
    </row>
    <row r="71" ht="14.25" customHeight="1">
      <c r="A71" s="158"/>
    </row>
    <row r="72" ht="14.25" customHeight="1">
      <c r="A72" s="158"/>
    </row>
    <row r="73" ht="14.25" customHeight="1">
      <c r="A73" s="158"/>
    </row>
    <row r="74" ht="14.25" customHeight="1">
      <c r="A74" s="158"/>
    </row>
    <row r="75" ht="14.25" customHeight="1">
      <c r="A75" s="158"/>
    </row>
    <row r="76" ht="14.25" customHeight="1">
      <c r="A76" s="158"/>
    </row>
    <row r="77" ht="14.25" customHeight="1">
      <c r="A77" s="158"/>
    </row>
    <row r="78" ht="14.25" customHeight="1">
      <c r="A78" s="158"/>
    </row>
    <row r="79" ht="14.25" customHeight="1">
      <c r="A79" s="158"/>
    </row>
    <row r="80" ht="14.25" customHeight="1">
      <c r="A80" s="158"/>
    </row>
    <row r="81" ht="14.25" customHeight="1">
      <c r="A81" s="158"/>
    </row>
    <row r="82" ht="14.25" customHeight="1">
      <c r="A82" s="158"/>
    </row>
    <row r="83" ht="14.25" customHeight="1">
      <c r="A83" s="158"/>
    </row>
    <row r="84" ht="14.25" customHeight="1">
      <c r="A84" s="158"/>
    </row>
    <row r="85" ht="14.25" customHeight="1">
      <c r="A85" s="158"/>
    </row>
    <row r="86" ht="14.25" customHeight="1">
      <c r="A86" s="158"/>
    </row>
    <row r="87" ht="14.25" customHeight="1">
      <c r="A87" s="158"/>
    </row>
    <row r="88" ht="14.25" customHeight="1">
      <c r="A88" s="158"/>
    </row>
    <row r="89" ht="14.25" customHeight="1">
      <c r="A89" s="158"/>
    </row>
    <row r="90" ht="14.25" customHeight="1">
      <c r="A90" s="158"/>
    </row>
    <row r="91" ht="14.25" customHeight="1">
      <c r="A91" s="158"/>
    </row>
    <row r="92" ht="14.25" customHeight="1">
      <c r="A92" s="158"/>
    </row>
    <row r="93" ht="14.25" customHeight="1">
      <c r="A93" s="158"/>
    </row>
    <row r="94" ht="14.25" customHeight="1">
      <c r="A94" s="158"/>
    </row>
    <row r="95" ht="14.25" customHeight="1">
      <c r="A95" s="158"/>
    </row>
    <row r="96" ht="14.25" customHeight="1">
      <c r="A96" s="158"/>
    </row>
    <row r="97" ht="14.25" customHeight="1">
      <c r="A97" s="158"/>
    </row>
    <row r="98" ht="14.25" customHeight="1">
      <c r="A98" s="158"/>
    </row>
    <row r="99" ht="14.25" customHeight="1">
      <c r="A99" s="158"/>
    </row>
    <row r="100" ht="14.25" customHeight="1">
      <c r="A100" s="158"/>
    </row>
    <row r="101" ht="14.25" customHeight="1">
      <c r="A101" s="158"/>
    </row>
    <row r="102" ht="14.25" customHeight="1">
      <c r="A102" s="158"/>
    </row>
    <row r="103" ht="14.25" customHeight="1">
      <c r="A103" s="158"/>
    </row>
    <row r="104" ht="14.25" customHeight="1">
      <c r="A104" s="158"/>
    </row>
    <row r="105" ht="14.25" customHeight="1">
      <c r="A105" s="158"/>
    </row>
    <row r="106" ht="14.25" customHeight="1">
      <c r="A106" s="158"/>
    </row>
    <row r="107" ht="14.25" customHeight="1">
      <c r="A107" s="158"/>
    </row>
    <row r="108" ht="14.25" customHeight="1">
      <c r="A108" s="158"/>
    </row>
    <row r="109" ht="14.25" customHeight="1">
      <c r="A109" s="158"/>
    </row>
    <row r="110" ht="14.25" customHeight="1">
      <c r="A110" s="158"/>
    </row>
    <row r="111" ht="14.25" customHeight="1">
      <c r="A111" s="158"/>
    </row>
    <row r="112" ht="14.25" customHeight="1">
      <c r="A112" s="158"/>
    </row>
    <row r="113" ht="14.25" customHeight="1">
      <c r="A113" s="158"/>
    </row>
    <row r="114" ht="14.25" customHeight="1">
      <c r="A114" s="158"/>
    </row>
    <row r="115" ht="14.25" customHeight="1">
      <c r="A115" s="158"/>
    </row>
    <row r="116" ht="14.25" customHeight="1">
      <c r="A116" s="158"/>
    </row>
    <row r="117" ht="14.25" customHeight="1">
      <c r="A117" s="158"/>
    </row>
    <row r="118" ht="14.25" customHeight="1">
      <c r="A118" s="158"/>
    </row>
    <row r="119" ht="14.25" customHeight="1">
      <c r="A119" s="158"/>
    </row>
    <row r="120" ht="14.25" customHeight="1">
      <c r="A120" s="158"/>
    </row>
    <row r="121" ht="14.25" customHeight="1">
      <c r="A121" s="158"/>
    </row>
    <row r="122" ht="14.25" customHeight="1">
      <c r="A122" s="158"/>
    </row>
    <row r="123" ht="14.25" customHeight="1">
      <c r="A123" s="158"/>
    </row>
    <row r="124" ht="14.25" customHeight="1">
      <c r="A124" s="158"/>
    </row>
    <row r="125" ht="14.25" customHeight="1">
      <c r="A125" s="158"/>
    </row>
    <row r="126" ht="14.25" customHeight="1">
      <c r="A126" s="158"/>
    </row>
    <row r="127" ht="14.25" customHeight="1">
      <c r="A127" s="158"/>
    </row>
    <row r="128" ht="14.25" customHeight="1">
      <c r="A128" s="158"/>
    </row>
    <row r="129" ht="14.25" customHeight="1">
      <c r="A129" s="158"/>
    </row>
    <row r="130" ht="14.25" customHeight="1">
      <c r="A130" s="158"/>
    </row>
    <row r="131" ht="14.25" customHeight="1">
      <c r="A131" s="158"/>
    </row>
    <row r="132" ht="14.25" customHeight="1">
      <c r="A132" s="158"/>
    </row>
    <row r="133" ht="14.25" customHeight="1">
      <c r="A133" s="158"/>
    </row>
    <row r="134" ht="14.25" customHeight="1">
      <c r="A134" s="158"/>
    </row>
    <row r="135" ht="14.25" customHeight="1">
      <c r="A135" s="158"/>
    </row>
    <row r="136" ht="14.25" customHeight="1">
      <c r="A136" s="158"/>
    </row>
    <row r="137" ht="14.25" customHeight="1">
      <c r="A137" s="158"/>
    </row>
    <row r="138" ht="14.25" customHeight="1">
      <c r="A138" s="158"/>
    </row>
    <row r="139" ht="14.25" customHeight="1">
      <c r="A139" s="158"/>
    </row>
    <row r="140" ht="14.25" customHeight="1">
      <c r="A140" s="158"/>
    </row>
    <row r="141" ht="14.25" customHeight="1">
      <c r="A141" s="158"/>
    </row>
    <row r="142" ht="14.25" customHeight="1">
      <c r="A142" s="158"/>
    </row>
    <row r="143" ht="14.25" customHeight="1">
      <c r="A143" s="158"/>
    </row>
    <row r="144" ht="14.25" customHeight="1">
      <c r="A144" s="158"/>
    </row>
    <row r="145" ht="14.25" customHeight="1">
      <c r="A145" s="158"/>
    </row>
    <row r="146" ht="14.25" customHeight="1">
      <c r="A146" s="158"/>
    </row>
    <row r="147" ht="14.25" customHeight="1">
      <c r="A147" s="158"/>
    </row>
    <row r="148" ht="14.25" customHeight="1">
      <c r="A148" s="158"/>
    </row>
    <row r="149" ht="14.25" customHeight="1">
      <c r="A149" s="158"/>
    </row>
    <row r="150" ht="14.25" customHeight="1">
      <c r="A150" s="158"/>
    </row>
    <row r="151" ht="14.25" customHeight="1">
      <c r="A151" s="158"/>
    </row>
    <row r="152" ht="14.25" customHeight="1">
      <c r="A152" s="158"/>
    </row>
    <row r="153" ht="14.25" customHeight="1">
      <c r="A153" s="158"/>
    </row>
    <row r="154" ht="14.25" customHeight="1">
      <c r="A154" s="158"/>
    </row>
    <row r="155" ht="14.25" customHeight="1">
      <c r="A155" s="158"/>
    </row>
    <row r="156" ht="14.25" customHeight="1">
      <c r="A156" s="158"/>
    </row>
    <row r="157" ht="14.25" customHeight="1">
      <c r="A157" s="158"/>
    </row>
    <row r="158" ht="14.25" customHeight="1">
      <c r="A158" s="158"/>
    </row>
    <row r="159" ht="14.25" customHeight="1">
      <c r="A159" s="158"/>
    </row>
    <row r="160" ht="14.25" customHeight="1">
      <c r="A160" s="158"/>
    </row>
    <row r="161" ht="14.25" customHeight="1">
      <c r="A161" s="158"/>
    </row>
    <row r="162" ht="14.25" customHeight="1">
      <c r="A162" s="158"/>
    </row>
    <row r="163" ht="14.25" customHeight="1">
      <c r="A163" s="158"/>
    </row>
    <row r="164" ht="14.25" customHeight="1">
      <c r="A164" s="158"/>
    </row>
    <row r="165" ht="14.25" customHeight="1">
      <c r="A165" s="158"/>
    </row>
    <row r="166" ht="14.25" customHeight="1">
      <c r="A166" s="158"/>
    </row>
    <row r="167" ht="14.25" customHeight="1">
      <c r="A167" s="158"/>
    </row>
    <row r="168" ht="14.25" customHeight="1">
      <c r="A168" s="158"/>
    </row>
    <row r="169" ht="14.25" customHeight="1">
      <c r="A169" s="158"/>
    </row>
    <row r="170" ht="14.25" customHeight="1">
      <c r="A170" s="158"/>
    </row>
    <row r="171" ht="14.25" customHeight="1">
      <c r="A171" s="158"/>
    </row>
    <row r="172" ht="14.25" customHeight="1">
      <c r="A172" s="158"/>
    </row>
    <row r="173" ht="14.25" customHeight="1">
      <c r="A173" s="158"/>
    </row>
    <row r="174" ht="14.25" customHeight="1">
      <c r="A174" s="158"/>
    </row>
    <row r="175" ht="14.25" customHeight="1">
      <c r="A175" s="158"/>
    </row>
    <row r="176" ht="14.25" customHeight="1">
      <c r="A176" s="158"/>
    </row>
    <row r="177" ht="14.25" customHeight="1">
      <c r="A177" s="158"/>
    </row>
    <row r="178" ht="14.25" customHeight="1">
      <c r="A178" s="158"/>
    </row>
    <row r="179" ht="14.25" customHeight="1">
      <c r="A179" s="158"/>
    </row>
    <row r="180" ht="14.25" customHeight="1">
      <c r="A180" s="158"/>
    </row>
    <row r="181" ht="14.25" customHeight="1">
      <c r="A181" s="158"/>
    </row>
    <row r="182" ht="14.25" customHeight="1">
      <c r="A182" s="158"/>
    </row>
    <row r="183" ht="14.25" customHeight="1">
      <c r="A183" s="158"/>
    </row>
    <row r="184" ht="14.25" customHeight="1">
      <c r="A184" s="158"/>
    </row>
    <row r="185" ht="14.25" customHeight="1">
      <c r="A185" s="158"/>
    </row>
    <row r="186" ht="14.25" customHeight="1">
      <c r="A186" s="158"/>
    </row>
    <row r="187" ht="14.25" customHeight="1">
      <c r="A187" s="158"/>
    </row>
    <row r="188" ht="14.25" customHeight="1">
      <c r="A188" s="158"/>
    </row>
    <row r="189" ht="14.25" customHeight="1">
      <c r="A189" s="158"/>
    </row>
    <row r="190" ht="14.25" customHeight="1">
      <c r="A190" s="158"/>
    </row>
    <row r="191" ht="14.25" customHeight="1">
      <c r="A191" s="158"/>
    </row>
    <row r="192" ht="14.25" customHeight="1">
      <c r="A192" s="158"/>
    </row>
    <row r="193" ht="14.25" customHeight="1">
      <c r="A193" s="158"/>
    </row>
    <row r="194" ht="14.25" customHeight="1">
      <c r="A194" s="158"/>
    </row>
    <row r="195" ht="14.25" customHeight="1">
      <c r="A195" s="158"/>
    </row>
    <row r="196" ht="14.25" customHeight="1">
      <c r="A196" s="158"/>
    </row>
    <row r="197" ht="14.25" customHeight="1">
      <c r="A197" s="158"/>
    </row>
    <row r="198" ht="14.25" customHeight="1">
      <c r="A198" s="158"/>
    </row>
    <row r="199" ht="14.25" customHeight="1">
      <c r="A199" s="158"/>
    </row>
    <row r="200" ht="14.25" customHeight="1">
      <c r="A200" s="158"/>
    </row>
    <row r="201" ht="14.25" customHeight="1">
      <c r="A201" s="158"/>
    </row>
    <row r="202" ht="14.25" customHeight="1">
      <c r="A202" s="158"/>
    </row>
    <row r="203" ht="14.25" customHeight="1">
      <c r="A203" s="158"/>
    </row>
    <row r="204" ht="14.25" customHeight="1">
      <c r="A204" s="158"/>
    </row>
    <row r="205" ht="14.25" customHeight="1">
      <c r="A205" s="158"/>
    </row>
    <row r="206" ht="14.25" customHeight="1">
      <c r="A206" s="158"/>
    </row>
    <row r="207" ht="14.25" customHeight="1">
      <c r="A207" s="158"/>
    </row>
    <row r="208" ht="14.25" customHeight="1">
      <c r="A208" s="158"/>
    </row>
    <row r="209" ht="14.25" customHeight="1">
      <c r="A209" s="158"/>
    </row>
    <row r="210" ht="14.25" customHeight="1">
      <c r="A210" s="158"/>
    </row>
    <row r="211" ht="14.25" customHeight="1">
      <c r="A211" s="158"/>
    </row>
    <row r="212" ht="14.25" customHeight="1">
      <c r="A212" s="158"/>
    </row>
    <row r="213" ht="14.25" customHeight="1">
      <c r="A213" s="158"/>
    </row>
    <row r="214" ht="14.25" customHeight="1">
      <c r="A214" s="158"/>
    </row>
    <row r="215" ht="14.25" customHeight="1">
      <c r="A215" s="158"/>
    </row>
    <row r="216" ht="14.25" customHeight="1">
      <c r="A216" s="158"/>
    </row>
    <row r="217" ht="14.25" customHeight="1">
      <c r="A217" s="158"/>
    </row>
    <row r="218" ht="14.25" customHeight="1">
      <c r="A218" s="158"/>
    </row>
    <row r="219" ht="14.25" customHeight="1">
      <c r="A219" s="158"/>
    </row>
    <row r="220" ht="14.25" customHeight="1">
      <c r="A220" s="158"/>
    </row>
    <row r="221" ht="14.25" customHeight="1">
      <c r="A221" s="158"/>
    </row>
    <row r="222" ht="14.25" customHeight="1">
      <c r="A222" s="158"/>
    </row>
    <row r="223" ht="14.25" customHeight="1">
      <c r="A223" s="158"/>
    </row>
    <row r="224" ht="14.25" customHeight="1">
      <c r="A224" s="158"/>
    </row>
    <row r="225" ht="14.25" customHeight="1">
      <c r="A225" s="158"/>
    </row>
    <row r="226" ht="14.25" customHeight="1">
      <c r="A226" s="158"/>
    </row>
    <row r="227" ht="14.25" customHeight="1">
      <c r="A227" s="158"/>
    </row>
    <row r="228" ht="14.25" customHeight="1">
      <c r="A228" s="158"/>
    </row>
    <row r="229" ht="14.25" customHeight="1">
      <c r="A229" s="158"/>
    </row>
    <row r="230" ht="14.25" customHeight="1">
      <c r="A230" s="158"/>
    </row>
    <row r="231" ht="14.25" customHeight="1">
      <c r="A231" s="158"/>
    </row>
    <row r="232" ht="14.25" customHeight="1">
      <c r="A232" s="158"/>
    </row>
    <row r="233" ht="14.25" customHeight="1">
      <c r="A233" s="158"/>
    </row>
    <row r="234" ht="14.25" customHeight="1">
      <c r="A234" s="158"/>
    </row>
    <row r="235" ht="14.25" customHeight="1">
      <c r="A235" s="158"/>
    </row>
    <row r="236" ht="14.25" customHeight="1">
      <c r="A236" s="158"/>
    </row>
    <row r="237" ht="14.25" customHeight="1">
      <c r="A237" s="158"/>
    </row>
    <row r="238" ht="14.25" customHeight="1">
      <c r="A238" s="158"/>
    </row>
    <row r="239" ht="14.25" customHeight="1">
      <c r="A239" s="158"/>
    </row>
    <row r="240" ht="14.25" customHeight="1">
      <c r="A240" s="158"/>
    </row>
    <row r="241" ht="14.25" customHeight="1">
      <c r="A241" s="158"/>
    </row>
    <row r="242" ht="14.25" customHeight="1">
      <c r="A242" s="158"/>
    </row>
    <row r="243" ht="14.25" customHeight="1">
      <c r="A243" s="158"/>
    </row>
    <row r="244" ht="14.25" customHeight="1">
      <c r="A244" s="158"/>
    </row>
    <row r="245" ht="14.25" customHeight="1">
      <c r="A245" s="158"/>
    </row>
    <row r="246" ht="14.25" customHeight="1">
      <c r="A246" s="158"/>
    </row>
    <row r="247" ht="14.25" customHeight="1">
      <c r="A247" s="158"/>
    </row>
    <row r="248" ht="14.25" customHeight="1">
      <c r="A248" s="158"/>
    </row>
    <row r="249" ht="14.25" customHeight="1">
      <c r="A249" s="158"/>
    </row>
    <row r="250" ht="14.25" customHeight="1">
      <c r="A250" s="158"/>
    </row>
    <row r="251" ht="14.25" customHeight="1">
      <c r="A251" s="158"/>
    </row>
    <row r="252" ht="14.25" customHeight="1">
      <c r="A252" s="158"/>
    </row>
    <row r="253" ht="14.25" customHeight="1">
      <c r="A253" s="158"/>
    </row>
    <row r="254" ht="14.25" customHeight="1">
      <c r="A254" s="158"/>
    </row>
    <row r="255" ht="14.25" customHeight="1">
      <c r="A255" s="158"/>
    </row>
    <row r="256" ht="14.25" customHeight="1">
      <c r="A256" s="158"/>
    </row>
    <row r="257" ht="14.25" customHeight="1">
      <c r="A257" s="158"/>
    </row>
    <row r="258" ht="14.25" customHeight="1">
      <c r="A258" s="158"/>
    </row>
    <row r="259" ht="14.25" customHeight="1">
      <c r="A259" s="158"/>
    </row>
    <row r="260" ht="14.25" customHeight="1">
      <c r="A260" s="158"/>
    </row>
    <row r="261" ht="14.25" customHeight="1">
      <c r="A261" s="158"/>
    </row>
    <row r="262" ht="14.25" customHeight="1">
      <c r="A262" s="158"/>
    </row>
    <row r="263" ht="14.25" customHeight="1">
      <c r="A263" s="158"/>
    </row>
    <row r="264" ht="14.25" customHeight="1">
      <c r="A264" s="158"/>
    </row>
    <row r="265" ht="14.25" customHeight="1">
      <c r="A265" s="158"/>
    </row>
    <row r="266" ht="14.25" customHeight="1">
      <c r="A266" s="158"/>
    </row>
    <row r="267" ht="14.25" customHeight="1">
      <c r="A267" s="158"/>
    </row>
    <row r="268" ht="14.25" customHeight="1">
      <c r="A268" s="158"/>
    </row>
    <row r="269" ht="14.25" customHeight="1">
      <c r="A269" s="158"/>
    </row>
    <row r="270" ht="14.25" customHeight="1">
      <c r="A270" s="158"/>
    </row>
    <row r="271" ht="14.25" customHeight="1">
      <c r="A271" s="158"/>
    </row>
    <row r="272" ht="14.25" customHeight="1">
      <c r="A272" s="158"/>
    </row>
    <row r="273" ht="14.25" customHeight="1">
      <c r="A273" s="158"/>
    </row>
    <row r="274" ht="14.25" customHeight="1">
      <c r="A274" s="158"/>
    </row>
    <row r="275" ht="14.25" customHeight="1">
      <c r="A275" s="158"/>
    </row>
    <row r="276" ht="14.25" customHeight="1">
      <c r="A276" s="158"/>
    </row>
    <row r="277" ht="14.25" customHeight="1">
      <c r="A277" s="158"/>
    </row>
    <row r="278" ht="14.25" customHeight="1">
      <c r="A278" s="158"/>
    </row>
    <row r="279" ht="14.25" customHeight="1">
      <c r="A279" s="158"/>
    </row>
    <row r="280" ht="14.25" customHeight="1">
      <c r="A280" s="158"/>
    </row>
    <row r="281" ht="14.25" customHeight="1">
      <c r="A281" s="158"/>
    </row>
    <row r="282" ht="14.25" customHeight="1">
      <c r="A282" s="158"/>
    </row>
    <row r="283" ht="14.25" customHeight="1">
      <c r="A283" s="158"/>
    </row>
    <row r="284" ht="14.25" customHeight="1">
      <c r="A284" s="158"/>
    </row>
    <row r="285" ht="14.25" customHeight="1">
      <c r="A285" s="158"/>
    </row>
    <row r="286" ht="14.25" customHeight="1">
      <c r="A286" s="158"/>
    </row>
    <row r="287" ht="14.25" customHeight="1">
      <c r="A287" s="158"/>
    </row>
    <row r="288" ht="14.25" customHeight="1">
      <c r="A288" s="158"/>
    </row>
    <row r="289" ht="14.25" customHeight="1">
      <c r="A289" s="158"/>
    </row>
    <row r="290" ht="14.25" customHeight="1">
      <c r="A290" s="158"/>
    </row>
    <row r="291" ht="14.25" customHeight="1">
      <c r="A291" s="158"/>
    </row>
    <row r="292" ht="14.25" customHeight="1">
      <c r="A292" s="158"/>
    </row>
    <row r="293" ht="14.25" customHeight="1">
      <c r="A293" s="158"/>
    </row>
    <row r="294" ht="14.25" customHeight="1">
      <c r="A294" s="158"/>
    </row>
    <row r="295" ht="14.25" customHeight="1">
      <c r="A295" s="158"/>
    </row>
    <row r="296" ht="14.25" customHeight="1">
      <c r="A296" s="158"/>
    </row>
    <row r="297" ht="14.25" customHeight="1">
      <c r="A297" s="158"/>
    </row>
    <row r="298" ht="14.25" customHeight="1">
      <c r="A298" s="158"/>
    </row>
    <row r="299" ht="14.25" customHeight="1">
      <c r="A299" s="158"/>
    </row>
    <row r="300" ht="14.25" customHeight="1">
      <c r="A300" s="158"/>
    </row>
    <row r="301" ht="14.25" customHeight="1">
      <c r="A301" s="158"/>
    </row>
    <row r="302" ht="14.25" customHeight="1">
      <c r="A302" s="158"/>
    </row>
    <row r="303" ht="14.25" customHeight="1">
      <c r="A303" s="158"/>
    </row>
    <row r="304" ht="14.25" customHeight="1">
      <c r="A304" s="158"/>
    </row>
    <row r="305" ht="14.25" customHeight="1">
      <c r="A305" s="158"/>
    </row>
    <row r="306" ht="14.25" customHeight="1">
      <c r="A306" s="158"/>
    </row>
    <row r="307" ht="14.25" customHeight="1">
      <c r="A307" s="158"/>
    </row>
    <row r="308" ht="14.25" customHeight="1">
      <c r="A308" s="158"/>
    </row>
    <row r="309" ht="14.25" customHeight="1">
      <c r="A309" s="158"/>
    </row>
    <row r="310" ht="14.25" customHeight="1">
      <c r="A310" s="158"/>
    </row>
    <row r="311" ht="14.25" customHeight="1">
      <c r="A311" s="158"/>
    </row>
    <row r="312" ht="14.25" customHeight="1">
      <c r="A312" s="158"/>
    </row>
    <row r="313" ht="14.25" customHeight="1">
      <c r="A313" s="158"/>
    </row>
    <row r="314" ht="14.25" customHeight="1">
      <c r="A314" s="158"/>
    </row>
    <row r="315" ht="14.25" customHeight="1">
      <c r="A315" s="158"/>
    </row>
    <row r="316" ht="14.25" customHeight="1">
      <c r="A316" s="158"/>
    </row>
    <row r="317" ht="14.25" customHeight="1">
      <c r="A317" s="158"/>
    </row>
    <row r="318" ht="14.25" customHeight="1">
      <c r="A318" s="158"/>
    </row>
    <row r="319" ht="14.25" customHeight="1">
      <c r="A319" s="158"/>
    </row>
    <row r="320" ht="14.25" customHeight="1">
      <c r="A320" s="158"/>
    </row>
    <row r="321" ht="14.25" customHeight="1">
      <c r="A321" s="158"/>
    </row>
    <row r="322" ht="14.25" customHeight="1">
      <c r="A322" s="158"/>
    </row>
    <row r="323" ht="14.25" customHeight="1">
      <c r="A323" s="158"/>
    </row>
    <row r="324" ht="14.25" customHeight="1">
      <c r="A324" s="158"/>
    </row>
    <row r="325" ht="14.25" customHeight="1">
      <c r="A325" s="158"/>
    </row>
    <row r="326" ht="14.25" customHeight="1">
      <c r="A326" s="158"/>
    </row>
    <row r="327" ht="14.25" customHeight="1">
      <c r="A327" s="158"/>
    </row>
    <row r="328" ht="14.25" customHeight="1">
      <c r="A328" s="158"/>
    </row>
    <row r="329" ht="14.25" customHeight="1">
      <c r="A329" s="158"/>
    </row>
    <row r="330" ht="14.25" customHeight="1">
      <c r="A330" s="158"/>
    </row>
    <row r="331" ht="14.25" customHeight="1">
      <c r="A331" s="158"/>
    </row>
    <row r="332" ht="14.25" customHeight="1">
      <c r="A332" s="158"/>
    </row>
    <row r="333" ht="14.25" customHeight="1">
      <c r="A333" s="158"/>
    </row>
    <row r="334" ht="14.25" customHeight="1">
      <c r="A334" s="158"/>
    </row>
    <row r="335" ht="14.25" customHeight="1">
      <c r="A335" s="158"/>
    </row>
    <row r="336" ht="14.25" customHeight="1">
      <c r="A336" s="158"/>
    </row>
    <row r="337" ht="14.25" customHeight="1">
      <c r="A337" s="158"/>
    </row>
    <row r="338" ht="14.25" customHeight="1">
      <c r="A338" s="158"/>
    </row>
    <row r="339" ht="14.25" customHeight="1">
      <c r="A339" s="158"/>
    </row>
    <row r="340" ht="14.25" customHeight="1">
      <c r="A340" s="158"/>
    </row>
    <row r="341" ht="14.25" customHeight="1">
      <c r="A341" s="158"/>
    </row>
    <row r="342" ht="14.25" customHeight="1">
      <c r="A342" s="158"/>
    </row>
    <row r="343" ht="14.25" customHeight="1">
      <c r="A343" s="158"/>
    </row>
    <row r="344" ht="14.25" customHeight="1">
      <c r="A344" s="158"/>
    </row>
    <row r="345" ht="14.25" customHeight="1">
      <c r="A345" s="158"/>
    </row>
    <row r="346" ht="14.25" customHeight="1">
      <c r="A346" s="158"/>
    </row>
    <row r="347" ht="14.25" customHeight="1">
      <c r="A347" s="158"/>
    </row>
    <row r="348" ht="14.25" customHeight="1">
      <c r="A348" s="158"/>
    </row>
    <row r="349" ht="14.25" customHeight="1">
      <c r="A349" s="158"/>
    </row>
    <row r="350" ht="14.25" customHeight="1">
      <c r="A350" s="158"/>
    </row>
    <row r="351" ht="14.25" customHeight="1">
      <c r="A351" s="158"/>
    </row>
    <row r="352" ht="14.25" customHeight="1">
      <c r="A352" s="158"/>
    </row>
    <row r="353" ht="14.25" customHeight="1">
      <c r="A353" s="158"/>
    </row>
    <row r="354" ht="14.25" customHeight="1">
      <c r="A354" s="158"/>
    </row>
    <row r="355" ht="14.25" customHeight="1">
      <c r="A355" s="158"/>
    </row>
    <row r="356" ht="14.25" customHeight="1">
      <c r="A356" s="158"/>
    </row>
    <row r="357" ht="14.25" customHeight="1">
      <c r="A357" s="158"/>
    </row>
    <row r="358" ht="14.25" customHeight="1">
      <c r="A358" s="158"/>
    </row>
    <row r="359" ht="14.25" customHeight="1">
      <c r="A359" s="158"/>
    </row>
    <row r="360" ht="14.25" customHeight="1">
      <c r="A360" s="158"/>
    </row>
    <row r="361" ht="14.25" customHeight="1">
      <c r="A361" s="158"/>
    </row>
    <row r="362" ht="14.25" customHeight="1">
      <c r="A362" s="158"/>
    </row>
    <row r="363" ht="14.25" customHeight="1">
      <c r="A363" s="158"/>
    </row>
    <row r="364" ht="14.25" customHeight="1">
      <c r="A364" s="158"/>
    </row>
    <row r="365" ht="14.25" customHeight="1">
      <c r="A365" s="158"/>
    </row>
    <row r="366" ht="14.25" customHeight="1">
      <c r="A366" s="158"/>
    </row>
    <row r="367" ht="14.25" customHeight="1">
      <c r="A367" s="158"/>
    </row>
    <row r="368" ht="14.25" customHeight="1">
      <c r="A368" s="158"/>
    </row>
    <row r="369" ht="14.25" customHeight="1">
      <c r="A369" s="158"/>
    </row>
    <row r="370" ht="14.25" customHeight="1">
      <c r="A370" s="158"/>
    </row>
    <row r="371" ht="14.25" customHeight="1">
      <c r="A371" s="158"/>
    </row>
    <row r="372" ht="14.25" customHeight="1">
      <c r="A372" s="158"/>
    </row>
    <row r="373" ht="14.25" customHeight="1">
      <c r="A373" s="158"/>
    </row>
    <row r="374" ht="14.25" customHeight="1">
      <c r="A374" s="158"/>
    </row>
    <row r="375" ht="14.25" customHeight="1">
      <c r="A375" s="158"/>
    </row>
    <row r="376" ht="14.25" customHeight="1">
      <c r="A376" s="158"/>
    </row>
    <row r="377" ht="14.25" customHeight="1">
      <c r="A377" s="158"/>
    </row>
    <row r="378" ht="14.25" customHeight="1">
      <c r="A378" s="158"/>
    </row>
    <row r="379" ht="14.25" customHeight="1">
      <c r="A379" s="158"/>
    </row>
    <row r="380" ht="14.25" customHeight="1">
      <c r="A380" s="158"/>
    </row>
    <row r="381" ht="14.25" customHeight="1">
      <c r="A381" s="158"/>
    </row>
    <row r="382" ht="14.25" customHeight="1">
      <c r="A382" s="158"/>
    </row>
    <row r="383" ht="14.25" customHeight="1">
      <c r="A383" s="158"/>
    </row>
    <row r="384" ht="14.25" customHeight="1">
      <c r="A384" s="158"/>
    </row>
    <row r="385" ht="14.25" customHeight="1">
      <c r="A385" s="158"/>
    </row>
    <row r="386" ht="14.25" customHeight="1">
      <c r="A386" s="158"/>
    </row>
    <row r="387" ht="14.25" customHeight="1">
      <c r="A387" s="158"/>
    </row>
    <row r="388" ht="14.25" customHeight="1">
      <c r="A388" s="158"/>
    </row>
    <row r="389" ht="14.25" customHeight="1">
      <c r="A389" s="158"/>
    </row>
    <row r="390" ht="14.25" customHeight="1">
      <c r="A390" s="158"/>
    </row>
    <row r="391" ht="14.25" customHeight="1">
      <c r="A391" s="158"/>
    </row>
    <row r="392" ht="14.25" customHeight="1">
      <c r="A392" s="158"/>
    </row>
    <row r="393" ht="14.25" customHeight="1">
      <c r="A393" s="158"/>
    </row>
    <row r="394" ht="14.25" customHeight="1">
      <c r="A394" s="158"/>
    </row>
    <row r="395" ht="14.25" customHeight="1">
      <c r="A395" s="158"/>
    </row>
    <row r="396" ht="14.25" customHeight="1">
      <c r="A396" s="158"/>
    </row>
    <row r="397" ht="14.25" customHeight="1">
      <c r="A397" s="158"/>
    </row>
    <row r="398" ht="14.25" customHeight="1">
      <c r="A398" s="158"/>
    </row>
    <row r="399" ht="14.25" customHeight="1">
      <c r="A399" s="158"/>
    </row>
    <row r="400" ht="14.25" customHeight="1">
      <c r="A400" s="158"/>
    </row>
    <row r="401" ht="14.25" customHeight="1">
      <c r="A401" s="158"/>
    </row>
    <row r="402" ht="14.25" customHeight="1">
      <c r="A402" s="158"/>
    </row>
    <row r="403" ht="14.25" customHeight="1">
      <c r="A403" s="158"/>
    </row>
    <row r="404" ht="14.25" customHeight="1">
      <c r="A404" s="158"/>
    </row>
    <row r="405" ht="14.25" customHeight="1">
      <c r="A405" s="158"/>
    </row>
    <row r="406" ht="14.25" customHeight="1">
      <c r="A406" s="158"/>
    </row>
    <row r="407" ht="14.25" customHeight="1">
      <c r="A407" s="158"/>
    </row>
    <row r="408" ht="14.25" customHeight="1">
      <c r="A408" s="158"/>
    </row>
    <row r="409" ht="14.25" customHeight="1">
      <c r="A409" s="158"/>
    </row>
    <row r="410" ht="14.25" customHeight="1">
      <c r="A410" s="158"/>
    </row>
    <row r="411" ht="14.25" customHeight="1">
      <c r="A411" s="158"/>
    </row>
    <row r="412" ht="14.25" customHeight="1">
      <c r="A412" s="158"/>
    </row>
    <row r="413" ht="14.25" customHeight="1">
      <c r="A413" s="158"/>
    </row>
    <row r="414" ht="14.25" customHeight="1">
      <c r="A414" s="158"/>
    </row>
    <row r="415" ht="14.25" customHeight="1">
      <c r="A415" s="158"/>
    </row>
    <row r="416" ht="14.25" customHeight="1">
      <c r="A416" s="158"/>
    </row>
    <row r="417" ht="14.25" customHeight="1">
      <c r="A417" s="158"/>
    </row>
    <row r="418" ht="14.25" customHeight="1">
      <c r="A418" s="158"/>
    </row>
    <row r="419" ht="14.25" customHeight="1">
      <c r="A419" s="158"/>
    </row>
    <row r="420" ht="14.25" customHeight="1">
      <c r="A420" s="158"/>
    </row>
    <row r="421" ht="14.25" customHeight="1">
      <c r="A421" s="158"/>
    </row>
    <row r="422" ht="14.25" customHeight="1">
      <c r="A422" s="158"/>
    </row>
    <row r="423" ht="14.25" customHeight="1">
      <c r="A423" s="158"/>
    </row>
    <row r="424" ht="14.25" customHeight="1">
      <c r="A424" s="158"/>
    </row>
    <row r="425" ht="14.25" customHeight="1">
      <c r="A425" s="158"/>
    </row>
    <row r="426" ht="14.25" customHeight="1">
      <c r="A426" s="158"/>
    </row>
    <row r="427" ht="14.25" customHeight="1">
      <c r="A427" s="158"/>
    </row>
    <row r="428" ht="14.25" customHeight="1">
      <c r="A428" s="158"/>
    </row>
    <row r="429" ht="14.25" customHeight="1">
      <c r="A429" s="158"/>
    </row>
    <row r="430" ht="14.25" customHeight="1">
      <c r="A430" s="158"/>
    </row>
    <row r="431" ht="14.25" customHeight="1">
      <c r="A431" s="158"/>
    </row>
    <row r="432" ht="14.25" customHeight="1">
      <c r="A432" s="158"/>
    </row>
    <row r="433" ht="14.25" customHeight="1">
      <c r="A433" s="158"/>
    </row>
    <row r="434" ht="14.25" customHeight="1">
      <c r="A434" s="158"/>
    </row>
    <row r="435" ht="14.25" customHeight="1">
      <c r="A435" s="158"/>
    </row>
    <row r="436" ht="14.25" customHeight="1">
      <c r="A436" s="158"/>
    </row>
    <row r="437" ht="14.25" customHeight="1">
      <c r="A437" s="158"/>
    </row>
    <row r="438" ht="14.25" customHeight="1">
      <c r="A438" s="158"/>
    </row>
    <row r="439" ht="14.25" customHeight="1">
      <c r="A439" s="158"/>
    </row>
    <row r="440" ht="14.25" customHeight="1">
      <c r="A440" s="158"/>
    </row>
    <row r="441" ht="14.25" customHeight="1">
      <c r="A441" s="158"/>
    </row>
    <row r="442" ht="14.25" customHeight="1">
      <c r="A442" s="158"/>
    </row>
    <row r="443" ht="14.25" customHeight="1">
      <c r="A443" s="158"/>
    </row>
    <row r="444" ht="14.25" customHeight="1">
      <c r="A444" s="158"/>
    </row>
    <row r="445" ht="14.25" customHeight="1">
      <c r="A445" s="158"/>
    </row>
    <row r="446" ht="14.25" customHeight="1">
      <c r="A446" s="158"/>
    </row>
    <row r="447" ht="14.25" customHeight="1">
      <c r="A447" s="158"/>
    </row>
    <row r="448" ht="14.25" customHeight="1">
      <c r="A448" s="158"/>
    </row>
    <row r="449" ht="14.25" customHeight="1">
      <c r="A449" s="158"/>
    </row>
    <row r="450" ht="14.25" customHeight="1">
      <c r="A450" s="158"/>
    </row>
    <row r="451" ht="14.25" customHeight="1">
      <c r="A451" s="158"/>
    </row>
    <row r="452" ht="14.25" customHeight="1">
      <c r="A452" s="158"/>
    </row>
    <row r="453" ht="14.25" customHeight="1">
      <c r="A453" s="158"/>
    </row>
    <row r="454" ht="14.25" customHeight="1">
      <c r="A454" s="158"/>
    </row>
    <row r="455" ht="14.25" customHeight="1">
      <c r="A455" s="158"/>
    </row>
    <row r="456" ht="14.25" customHeight="1">
      <c r="A456" s="158"/>
    </row>
    <row r="457" ht="14.25" customHeight="1">
      <c r="A457" s="158"/>
    </row>
    <row r="458" ht="14.25" customHeight="1">
      <c r="A458" s="158"/>
    </row>
    <row r="459" ht="14.25" customHeight="1">
      <c r="A459" s="158"/>
    </row>
    <row r="460" ht="14.25" customHeight="1">
      <c r="A460" s="158"/>
    </row>
    <row r="461" ht="14.25" customHeight="1">
      <c r="A461" s="158"/>
    </row>
    <row r="462" ht="14.25" customHeight="1">
      <c r="A462" s="158"/>
    </row>
    <row r="463" ht="14.25" customHeight="1">
      <c r="A463" s="158"/>
    </row>
    <row r="464" ht="14.25" customHeight="1">
      <c r="A464" s="158"/>
    </row>
    <row r="465" ht="14.25" customHeight="1">
      <c r="A465" s="158"/>
    </row>
    <row r="466" ht="14.25" customHeight="1">
      <c r="A466" s="158"/>
    </row>
    <row r="467" ht="14.25" customHeight="1">
      <c r="A467" s="158"/>
    </row>
    <row r="468" ht="14.25" customHeight="1">
      <c r="A468" s="158"/>
    </row>
    <row r="469" ht="14.25" customHeight="1">
      <c r="A469" s="158"/>
    </row>
    <row r="470" ht="14.25" customHeight="1">
      <c r="A470" s="158"/>
    </row>
    <row r="471" ht="14.25" customHeight="1">
      <c r="A471" s="158"/>
    </row>
    <row r="472" ht="14.25" customHeight="1">
      <c r="A472" s="158"/>
    </row>
    <row r="473" ht="14.25" customHeight="1">
      <c r="A473" s="158"/>
    </row>
    <row r="474" ht="14.25" customHeight="1">
      <c r="A474" s="158"/>
    </row>
    <row r="475" ht="14.25" customHeight="1">
      <c r="A475" s="158"/>
    </row>
    <row r="476" ht="14.25" customHeight="1">
      <c r="A476" s="158"/>
    </row>
    <row r="477" ht="14.25" customHeight="1">
      <c r="A477" s="158"/>
    </row>
    <row r="478" ht="14.25" customHeight="1">
      <c r="A478" s="158"/>
    </row>
    <row r="479" ht="14.25" customHeight="1">
      <c r="A479" s="158"/>
    </row>
    <row r="480" ht="14.25" customHeight="1">
      <c r="A480" s="158"/>
    </row>
    <row r="481" ht="14.25" customHeight="1">
      <c r="A481" s="158"/>
    </row>
    <row r="482" ht="14.25" customHeight="1">
      <c r="A482" s="158"/>
    </row>
    <row r="483" ht="14.25" customHeight="1">
      <c r="A483" s="158"/>
    </row>
    <row r="484" ht="14.25" customHeight="1">
      <c r="A484" s="158"/>
    </row>
    <row r="485" ht="14.25" customHeight="1">
      <c r="A485" s="158"/>
    </row>
    <row r="486" ht="14.25" customHeight="1">
      <c r="A486" s="158"/>
    </row>
    <row r="487" ht="14.25" customHeight="1">
      <c r="A487" s="158"/>
    </row>
    <row r="488" ht="14.25" customHeight="1">
      <c r="A488" s="158"/>
    </row>
    <row r="489" ht="14.25" customHeight="1">
      <c r="A489" s="158"/>
    </row>
    <row r="490" ht="14.25" customHeight="1">
      <c r="A490" s="158"/>
    </row>
    <row r="491" ht="14.25" customHeight="1">
      <c r="A491" s="158"/>
    </row>
    <row r="492" ht="14.25" customHeight="1">
      <c r="A492" s="158"/>
    </row>
    <row r="493" ht="14.25" customHeight="1">
      <c r="A493" s="158"/>
    </row>
    <row r="494" ht="14.25" customHeight="1">
      <c r="A494" s="158"/>
    </row>
    <row r="495" ht="14.25" customHeight="1">
      <c r="A495" s="158"/>
    </row>
    <row r="496" ht="14.25" customHeight="1">
      <c r="A496" s="158"/>
    </row>
    <row r="497" ht="14.25" customHeight="1">
      <c r="A497" s="158"/>
    </row>
    <row r="498" ht="14.25" customHeight="1">
      <c r="A498" s="158"/>
    </row>
    <row r="499" ht="14.25" customHeight="1">
      <c r="A499" s="158"/>
    </row>
    <row r="500" ht="14.25" customHeight="1">
      <c r="A500" s="158"/>
    </row>
    <row r="501" ht="14.25" customHeight="1">
      <c r="A501" s="158"/>
    </row>
    <row r="502" ht="14.25" customHeight="1">
      <c r="A502" s="158"/>
    </row>
    <row r="503" ht="14.25" customHeight="1">
      <c r="A503" s="158"/>
    </row>
    <row r="504" ht="14.25" customHeight="1">
      <c r="A504" s="158"/>
    </row>
    <row r="505" ht="14.25" customHeight="1">
      <c r="A505" s="158"/>
    </row>
    <row r="506" ht="14.25" customHeight="1">
      <c r="A506" s="158"/>
    </row>
    <row r="507" ht="14.25" customHeight="1">
      <c r="A507" s="158"/>
    </row>
    <row r="508" ht="14.25" customHeight="1">
      <c r="A508" s="158"/>
    </row>
    <row r="509" ht="14.25" customHeight="1">
      <c r="A509" s="158"/>
    </row>
    <row r="510" ht="14.25" customHeight="1">
      <c r="A510" s="158"/>
    </row>
    <row r="511" ht="14.25" customHeight="1">
      <c r="A511" s="158"/>
    </row>
    <row r="512" ht="14.25" customHeight="1">
      <c r="A512" s="158"/>
    </row>
    <row r="513" ht="14.25" customHeight="1">
      <c r="A513" s="158"/>
    </row>
    <row r="514" ht="14.25" customHeight="1">
      <c r="A514" s="158"/>
    </row>
    <row r="515" ht="14.25" customHeight="1">
      <c r="A515" s="158"/>
    </row>
    <row r="516" ht="14.25" customHeight="1">
      <c r="A516" s="158"/>
    </row>
    <row r="517" ht="14.25" customHeight="1">
      <c r="A517" s="158"/>
    </row>
    <row r="518" ht="14.25" customHeight="1">
      <c r="A518" s="158"/>
    </row>
    <row r="519" ht="14.25" customHeight="1">
      <c r="A519" s="158"/>
    </row>
    <row r="520" ht="14.25" customHeight="1">
      <c r="A520" s="158"/>
    </row>
    <row r="521" ht="14.25" customHeight="1">
      <c r="A521" s="158"/>
    </row>
    <row r="522" ht="14.25" customHeight="1">
      <c r="A522" s="158"/>
    </row>
    <row r="523" ht="14.25" customHeight="1">
      <c r="A523" s="158"/>
    </row>
    <row r="524" ht="14.25" customHeight="1">
      <c r="A524" s="158"/>
    </row>
    <row r="525" ht="14.25" customHeight="1">
      <c r="A525" s="158"/>
    </row>
    <row r="526" ht="14.25" customHeight="1">
      <c r="A526" s="158"/>
    </row>
    <row r="527" ht="14.25" customHeight="1">
      <c r="A527" s="158"/>
    </row>
    <row r="528" ht="14.25" customHeight="1">
      <c r="A528" s="158"/>
    </row>
    <row r="529" ht="14.25" customHeight="1">
      <c r="A529" s="158"/>
    </row>
    <row r="530" ht="14.25" customHeight="1">
      <c r="A530" s="158"/>
    </row>
    <row r="531" ht="14.25" customHeight="1">
      <c r="A531" s="158"/>
    </row>
    <row r="532" ht="14.25" customHeight="1">
      <c r="A532" s="158"/>
    </row>
    <row r="533" ht="14.25" customHeight="1">
      <c r="A533" s="158"/>
    </row>
    <row r="534" ht="14.25" customHeight="1">
      <c r="A534" s="158"/>
    </row>
    <row r="535" ht="14.25" customHeight="1">
      <c r="A535" s="158"/>
    </row>
    <row r="536" ht="14.25" customHeight="1">
      <c r="A536" s="158"/>
    </row>
    <row r="537" ht="14.25" customHeight="1">
      <c r="A537" s="158"/>
    </row>
    <row r="538" ht="14.25" customHeight="1">
      <c r="A538" s="158"/>
    </row>
    <row r="539" ht="14.25" customHeight="1">
      <c r="A539" s="158"/>
    </row>
    <row r="540" ht="14.25" customHeight="1">
      <c r="A540" s="158"/>
    </row>
    <row r="541" ht="14.25" customHeight="1">
      <c r="A541" s="158"/>
    </row>
    <row r="542" ht="14.25" customHeight="1">
      <c r="A542" s="158"/>
    </row>
    <row r="543" ht="14.25" customHeight="1">
      <c r="A543" s="158"/>
    </row>
    <row r="544" ht="14.25" customHeight="1">
      <c r="A544" s="158"/>
    </row>
    <row r="545" ht="14.25" customHeight="1">
      <c r="A545" s="158"/>
    </row>
    <row r="546" ht="14.25" customHeight="1">
      <c r="A546" s="158"/>
    </row>
    <row r="547" ht="14.25" customHeight="1">
      <c r="A547" s="158"/>
    </row>
    <row r="548" ht="14.25" customHeight="1">
      <c r="A548" s="158"/>
    </row>
    <row r="549" ht="14.25" customHeight="1">
      <c r="A549" s="158"/>
    </row>
    <row r="550" ht="14.25" customHeight="1">
      <c r="A550" s="158"/>
    </row>
    <row r="551" ht="14.25" customHeight="1">
      <c r="A551" s="158"/>
    </row>
    <row r="552" ht="14.25" customHeight="1">
      <c r="A552" s="158"/>
    </row>
    <row r="553" ht="14.25" customHeight="1">
      <c r="A553" s="158"/>
    </row>
    <row r="554" ht="14.25" customHeight="1">
      <c r="A554" s="158"/>
    </row>
    <row r="555" ht="14.25" customHeight="1">
      <c r="A555" s="158"/>
    </row>
    <row r="556" ht="14.25" customHeight="1">
      <c r="A556" s="158"/>
    </row>
    <row r="557" ht="14.25" customHeight="1">
      <c r="A557" s="158"/>
    </row>
    <row r="558" ht="14.25" customHeight="1">
      <c r="A558" s="158"/>
    </row>
    <row r="559" ht="14.25" customHeight="1">
      <c r="A559" s="158"/>
    </row>
    <row r="560" ht="14.25" customHeight="1">
      <c r="A560" s="158"/>
    </row>
    <row r="561" ht="14.25" customHeight="1">
      <c r="A561" s="158"/>
    </row>
    <row r="562" ht="14.25" customHeight="1">
      <c r="A562" s="158"/>
    </row>
    <row r="563" ht="14.25" customHeight="1">
      <c r="A563" s="158"/>
    </row>
    <row r="564" ht="14.25" customHeight="1">
      <c r="A564" s="158"/>
    </row>
    <row r="565" ht="14.25" customHeight="1">
      <c r="A565" s="158"/>
    </row>
    <row r="566" ht="14.25" customHeight="1">
      <c r="A566" s="158"/>
    </row>
    <row r="567" ht="14.25" customHeight="1">
      <c r="A567" s="158"/>
    </row>
    <row r="568" ht="14.25" customHeight="1">
      <c r="A568" s="158"/>
    </row>
    <row r="569" ht="14.25" customHeight="1">
      <c r="A569" s="158"/>
    </row>
    <row r="570" ht="14.25" customHeight="1">
      <c r="A570" s="158"/>
    </row>
    <row r="571" ht="14.25" customHeight="1">
      <c r="A571" s="158"/>
    </row>
    <row r="572" ht="14.25" customHeight="1">
      <c r="A572" s="158"/>
    </row>
    <row r="573" ht="14.25" customHeight="1">
      <c r="A573" s="158"/>
    </row>
    <row r="574" ht="14.25" customHeight="1">
      <c r="A574" s="158"/>
    </row>
    <row r="575" ht="14.25" customHeight="1">
      <c r="A575" s="158"/>
    </row>
    <row r="576" ht="14.25" customHeight="1">
      <c r="A576" s="158"/>
    </row>
    <row r="577" ht="14.25" customHeight="1">
      <c r="A577" s="158"/>
    </row>
    <row r="578" ht="14.25" customHeight="1">
      <c r="A578" s="158"/>
    </row>
    <row r="579" ht="14.25" customHeight="1">
      <c r="A579" s="158"/>
    </row>
    <row r="580" ht="14.25" customHeight="1">
      <c r="A580" s="158"/>
    </row>
    <row r="581" ht="14.25" customHeight="1">
      <c r="A581" s="158"/>
    </row>
    <row r="582" ht="14.25" customHeight="1">
      <c r="A582" s="158"/>
    </row>
    <row r="583" ht="14.25" customHeight="1">
      <c r="A583" s="158"/>
    </row>
    <row r="584" ht="14.25" customHeight="1">
      <c r="A584" s="158"/>
    </row>
    <row r="585" ht="14.25" customHeight="1">
      <c r="A585" s="158"/>
    </row>
    <row r="586" ht="14.25" customHeight="1">
      <c r="A586" s="158"/>
    </row>
    <row r="587" ht="14.25" customHeight="1">
      <c r="A587" s="158"/>
    </row>
    <row r="588" ht="14.25" customHeight="1">
      <c r="A588" s="158"/>
    </row>
    <row r="589" ht="14.25" customHeight="1">
      <c r="A589" s="158"/>
    </row>
    <row r="590" ht="14.25" customHeight="1">
      <c r="A590" s="158"/>
    </row>
    <row r="591" ht="14.25" customHeight="1">
      <c r="A591" s="158"/>
    </row>
    <row r="592" ht="14.25" customHeight="1">
      <c r="A592" s="158"/>
    </row>
    <row r="593" ht="14.25" customHeight="1">
      <c r="A593" s="158"/>
    </row>
    <row r="594" ht="14.25" customHeight="1">
      <c r="A594" s="158"/>
    </row>
    <row r="595" ht="14.25" customHeight="1">
      <c r="A595" s="158"/>
    </row>
    <row r="596" ht="14.25" customHeight="1">
      <c r="A596" s="158"/>
    </row>
    <row r="597" ht="14.25" customHeight="1">
      <c r="A597" s="158"/>
    </row>
    <row r="598" ht="14.25" customHeight="1">
      <c r="A598" s="158"/>
    </row>
    <row r="599" ht="14.25" customHeight="1">
      <c r="A599" s="158"/>
    </row>
    <row r="600" ht="14.25" customHeight="1">
      <c r="A600" s="158"/>
    </row>
    <row r="601" ht="14.25" customHeight="1">
      <c r="A601" s="158"/>
    </row>
    <row r="602" ht="14.25" customHeight="1">
      <c r="A602" s="158"/>
    </row>
    <row r="603" ht="14.25" customHeight="1">
      <c r="A603" s="158"/>
    </row>
    <row r="604" ht="14.25" customHeight="1">
      <c r="A604" s="158"/>
    </row>
    <row r="605" ht="14.25" customHeight="1">
      <c r="A605" s="158"/>
    </row>
    <row r="606" ht="14.25" customHeight="1">
      <c r="A606" s="158"/>
    </row>
    <row r="607" ht="14.25" customHeight="1">
      <c r="A607" s="158"/>
    </row>
    <row r="608" ht="14.25" customHeight="1">
      <c r="A608" s="158"/>
    </row>
    <row r="609" ht="14.25" customHeight="1">
      <c r="A609" s="158"/>
    </row>
    <row r="610" ht="14.25" customHeight="1">
      <c r="A610" s="158"/>
    </row>
    <row r="611" ht="14.25" customHeight="1">
      <c r="A611" s="158"/>
    </row>
    <row r="612" ht="14.25" customHeight="1">
      <c r="A612" s="158"/>
    </row>
    <row r="613" ht="14.25" customHeight="1">
      <c r="A613" s="158"/>
    </row>
    <row r="614" ht="14.25" customHeight="1">
      <c r="A614" s="158"/>
    </row>
    <row r="615" ht="14.25" customHeight="1">
      <c r="A615" s="158"/>
    </row>
    <row r="616" ht="14.25" customHeight="1">
      <c r="A616" s="158"/>
    </row>
    <row r="617" ht="14.25" customHeight="1">
      <c r="A617" s="158"/>
    </row>
    <row r="618" ht="14.25" customHeight="1">
      <c r="A618" s="158"/>
    </row>
    <row r="619" ht="14.25" customHeight="1">
      <c r="A619" s="158"/>
    </row>
    <row r="620" ht="14.25" customHeight="1">
      <c r="A620" s="158"/>
    </row>
    <row r="621" ht="14.25" customHeight="1">
      <c r="A621" s="158"/>
    </row>
    <row r="622" ht="14.25" customHeight="1">
      <c r="A622" s="158"/>
    </row>
    <row r="623" ht="14.25" customHeight="1">
      <c r="A623" s="158"/>
    </row>
    <row r="624" ht="14.25" customHeight="1">
      <c r="A624" s="158"/>
    </row>
    <row r="625" ht="14.25" customHeight="1">
      <c r="A625" s="158"/>
    </row>
    <row r="626" ht="14.25" customHeight="1">
      <c r="A626" s="158"/>
    </row>
    <row r="627" ht="14.25" customHeight="1">
      <c r="A627" s="158"/>
    </row>
    <row r="628" ht="14.25" customHeight="1">
      <c r="A628" s="158"/>
    </row>
    <row r="629" ht="14.25" customHeight="1">
      <c r="A629" s="158"/>
    </row>
    <row r="630" ht="14.25" customHeight="1">
      <c r="A630" s="158"/>
    </row>
    <row r="631" ht="14.25" customHeight="1">
      <c r="A631" s="158"/>
    </row>
    <row r="632" ht="14.25" customHeight="1">
      <c r="A632" s="158"/>
    </row>
    <row r="633" ht="14.25" customHeight="1">
      <c r="A633" s="158"/>
    </row>
    <row r="634" ht="14.25" customHeight="1">
      <c r="A634" s="158"/>
    </row>
    <row r="635" ht="14.25" customHeight="1">
      <c r="A635" s="158"/>
    </row>
    <row r="636" ht="14.25" customHeight="1">
      <c r="A636" s="158"/>
    </row>
    <row r="637" ht="14.25" customHeight="1">
      <c r="A637" s="158"/>
    </row>
    <row r="638" ht="14.25" customHeight="1">
      <c r="A638" s="158"/>
    </row>
    <row r="639" ht="14.25" customHeight="1">
      <c r="A639" s="158"/>
    </row>
    <row r="640" ht="14.25" customHeight="1">
      <c r="A640" s="158"/>
    </row>
    <row r="641" ht="14.25" customHeight="1">
      <c r="A641" s="158"/>
    </row>
    <row r="642" ht="14.25" customHeight="1">
      <c r="A642" s="158"/>
    </row>
    <row r="643" ht="14.25" customHeight="1">
      <c r="A643" s="158"/>
    </row>
    <row r="644" ht="14.25" customHeight="1">
      <c r="A644" s="158"/>
    </row>
    <row r="645" ht="14.25" customHeight="1">
      <c r="A645" s="158"/>
    </row>
    <row r="646" ht="14.25" customHeight="1">
      <c r="A646" s="158"/>
    </row>
    <row r="647" ht="14.25" customHeight="1">
      <c r="A647" s="158"/>
    </row>
    <row r="648" ht="14.25" customHeight="1">
      <c r="A648" s="158"/>
    </row>
    <row r="649" ht="14.25" customHeight="1">
      <c r="A649" s="158"/>
    </row>
    <row r="650" ht="14.25" customHeight="1">
      <c r="A650" s="158"/>
    </row>
    <row r="651" ht="14.25" customHeight="1">
      <c r="A651" s="158"/>
    </row>
    <row r="652" ht="14.25" customHeight="1">
      <c r="A652" s="158"/>
    </row>
    <row r="653" ht="14.25" customHeight="1">
      <c r="A653" s="158"/>
    </row>
    <row r="654" ht="14.25" customHeight="1">
      <c r="A654" s="158"/>
    </row>
    <row r="655" ht="14.25" customHeight="1">
      <c r="A655" s="158"/>
    </row>
    <row r="656" ht="14.25" customHeight="1">
      <c r="A656" s="158"/>
    </row>
    <row r="657" ht="14.25" customHeight="1">
      <c r="A657" s="158"/>
    </row>
    <row r="658" ht="14.25" customHeight="1">
      <c r="A658" s="158"/>
    </row>
    <row r="659" ht="14.25" customHeight="1">
      <c r="A659" s="158"/>
    </row>
    <row r="660" ht="14.25" customHeight="1">
      <c r="A660" s="158"/>
    </row>
    <row r="661" ht="14.25" customHeight="1">
      <c r="A661" s="158"/>
    </row>
    <row r="662" ht="14.25" customHeight="1">
      <c r="A662" s="158"/>
    </row>
    <row r="663" ht="14.25" customHeight="1">
      <c r="A663" s="158"/>
    </row>
    <row r="664" ht="14.25" customHeight="1">
      <c r="A664" s="158"/>
    </row>
    <row r="665" ht="14.25" customHeight="1">
      <c r="A665" s="158"/>
    </row>
    <row r="666" ht="14.25" customHeight="1">
      <c r="A666" s="158"/>
    </row>
    <row r="667" ht="14.25" customHeight="1">
      <c r="A667" s="158"/>
    </row>
    <row r="668" ht="14.25" customHeight="1">
      <c r="A668" s="158"/>
    </row>
    <row r="669" ht="14.25" customHeight="1">
      <c r="A669" s="158"/>
    </row>
    <row r="670" ht="14.25" customHeight="1">
      <c r="A670" s="158"/>
    </row>
    <row r="671" ht="14.25" customHeight="1">
      <c r="A671" s="158"/>
    </row>
    <row r="672" ht="14.25" customHeight="1">
      <c r="A672" s="158"/>
    </row>
    <row r="673" ht="14.25" customHeight="1">
      <c r="A673" s="158"/>
    </row>
    <row r="674" ht="14.25" customHeight="1">
      <c r="A674" s="158"/>
    </row>
    <row r="675" ht="14.25" customHeight="1">
      <c r="A675" s="158"/>
    </row>
    <row r="676" ht="14.25" customHeight="1">
      <c r="A676" s="158"/>
    </row>
    <row r="677" ht="14.25" customHeight="1">
      <c r="A677" s="158"/>
    </row>
    <row r="678" ht="14.25" customHeight="1">
      <c r="A678" s="158"/>
    </row>
    <row r="679" ht="14.25" customHeight="1">
      <c r="A679" s="158"/>
    </row>
    <row r="680" ht="14.25" customHeight="1">
      <c r="A680" s="158"/>
    </row>
    <row r="681" ht="14.25" customHeight="1">
      <c r="A681" s="158"/>
    </row>
    <row r="682" ht="14.25" customHeight="1">
      <c r="A682" s="158"/>
    </row>
    <row r="683" ht="14.25" customHeight="1">
      <c r="A683" s="158"/>
    </row>
    <row r="684" ht="14.25" customHeight="1">
      <c r="A684" s="158"/>
    </row>
    <row r="685" ht="14.25" customHeight="1">
      <c r="A685" s="158"/>
    </row>
    <row r="686" ht="14.25" customHeight="1">
      <c r="A686" s="158"/>
    </row>
    <row r="687" ht="14.25" customHeight="1">
      <c r="A687" s="158"/>
    </row>
    <row r="688" ht="14.25" customHeight="1">
      <c r="A688" s="158"/>
    </row>
    <row r="689" ht="14.25" customHeight="1">
      <c r="A689" s="158"/>
    </row>
    <row r="690" ht="14.25" customHeight="1">
      <c r="A690" s="158"/>
    </row>
    <row r="691" ht="14.25" customHeight="1">
      <c r="A691" s="158"/>
    </row>
    <row r="692" ht="14.25" customHeight="1">
      <c r="A692" s="158"/>
    </row>
    <row r="693" ht="14.25" customHeight="1">
      <c r="A693" s="158"/>
    </row>
    <row r="694" ht="14.25" customHeight="1">
      <c r="A694" s="158"/>
    </row>
    <row r="695" ht="14.25" customHeight="1">
      <c r="A695" s="158"/>
    </row>
    <row r="696" ht="14.25" customHeight="1">
      <c r="A696" s="158"/>
    </row>
    <row r="697" ht="14.25" customHeight="1">
      <c r="A697" s="158"/>
    </row>
    <row r="698" ht="14.25" customHeight="1">
      <c r="A698" s="158"/>
    </row>
    <row r="699" ht="14.25" customHeight="1">
      <c r="A699" s="158"/>
    </row>
    <row r="700" ht="14.25" customHeight="1">
      <c r="A700" s="158"/>
    </row>
    <row r="701" ht="14.25" customHeight="1">
      <c r="A701" s="158"/>
    </row>
    <row r="702" ht="14.25" customHeight="1">
      <c r="A702" s="158"/>
    </row>
    <row r="703" ht="14.25" customHeight="1">
      <c r="A703" s="158"/>
    </row>
    <row r="704" ht="14.25" customHeight="1">
      <c r="A704" s="158"/>
    </row>
    <row r="705" ht="14.25" customHeight="1">
      <c r="A705" s="158"/>
    </row>
    <row r="706" ht="14.25" customHeight="1">
      <c r="A706" s="158"/>
    </row>
    <row r="707" ht="14.25" customHeight="1">
      <c r="A707" s="158"/>
    </row>
    <row r="708" ht="14.25" customHeight="1">
      <c r="A708" s="158"/>
    </row>
    <row r="709" ht="14.25" customHeight="1">
      <c r="A709" s="158"/>
    </row>
    <row r="710" ht="14.25" customHeight="1">
      <c r="A710" s="158"/>
    </row>
    <row r="711" ht="14.25" customHeight="1">
      <c r="A711" s="158"/>
    </row>
    <row r="712" ht="14.25" customHeight="1">
      <c r="A712" s="158"/>
    </row>
    <row r="713" ht="14.25" customHeight="1">
      <c r="A713" s="158"/>
    </row>
    <row r="714" ht="14.25" customHeight="1">
      <c r="A714" s="158"/>
    </row>
    <row r="715" ht="14.25" customHeight="1">
      <c r="A715" s="158"/>
    </row>
    <row r="716" ht="14.25" customHeight="1">
      <c r="A716" s="158"/>
    </row>
    <row r="717" ht="14.25" customHeight="1">
      <c r="A717" s="158"/>
    </row>
    <row r="718" ht="14.25" customHeight="1">
      <c r="A718" s="158"/>
    </row>
    <row r="719" ht="14.25" customHeight="1">
      <c r="A719" s="158"/>
    </row>
    <row r="720" ht="14.25" customHeight="1">
      <c r="A720" s="158"/>
    </row>
    <row r="721" ht="14.25" customHeight="1">
      <c r="A721" s="158"/>
    </row>
    <row r="722" ht="14.25" customHeight="1">
      <c r="A722" s="158"/>
    </row>
    <row r="723" ht="14.25" customHeight="1">
      <c r="A723" s="158"/>
    </row>
    <row r="724" ht="14.25" customHeight="1">
      <c r="A724" s="158"/>
    </row>
    <row r="725" ht="14.25" customHeight="1">
      <c r="A725" s="158"/>
    </row>
    <row r="726" ht="14.25" customHeight="1">
      <c r="A726" s="158"/>
    </row>
    <row r="727" ht="14.25" customHeight="1">
      <c r="A727" s="158"/>
    </row>
    <row r="728" ht="14.25" customHeight="1">
      <c r="A728" s="158"/>
    </row>
    <row r="729" ht="14.25" customHeight="1">
      <c r="A729" s="158"/>
    </row>
    <row r="730" ht="14.25" customHeight="1">
      <c r="A730" s="158"/>
    </row>
    <row r="731" ht="14.25" customHeight="1">
      <c r="A731" s="158"/>
    </row>
    <row r="732" ht="14.25" customHeight="1">
      <c r="A732" s="158"/>
    </row>
    <row r="733" ht="14.25" customHeight="1">
      <c r="A733" s="158"/>
    </row>
    <row r="734" ht="14.25" customHeight="1">
      <c r="A734" s="158"/>
    </row>
    <row r="735" ht="14.25" customHeight="1">
      <c r="A735" s="158"/>
    </row>
    <row r="736" ht="14.25" customHeight="1">
      <c r="A736" s="158"/>
    </row>
    <row r="737" ht="14.25" customHeight="1">
      <c r="A737" s="158"/>
    </row>
    <row r="738" ht="14.25" customHeight="1">
      <c r="A738" s="158"/>
    </row>
    <row r="739" ht="14.25" customHeight="1">
      <c r="A739" s="158"/>
    </row>
    <row r="740" ht="14.25" customHeight="1">
      <c r="A740" s="158"/>
    </row>
    <row r="741" ht="14.25" customHeight="1">
      <c r="A741" s="158"/>
    </row>
    <row r="742" ht="14.25" customHeight="1">
      <c r="A742" s="158"/>
    </row>
    <row r="743" ht="14.25" customHeight="1">
      <c r="A743" s="158"/>
    </row>
    <row r="744" ht="14.25" customHeight="1">
      <c r="A744" s="158"/>
    </row>
    <row r="745" ht="14.25" customHeight="1">
      <c r="A745" s="158"/>
    </row>
    <row r="746" ht="14.25" customHeight="1">
      <c r="A746" s="158"/>
    </row>
    <row r="747" ht="14.25" customHeight="1">
      <c r="A747" s="158"/>
    </row>
    <row r="748" ht="14.25" customHeight="1">
      <c r="A748" s="158"/>
    </row>
    <row r="749" ht="14.25" customHeight="1">
      <c r="A749" s="158"/>
    </row>
    <row r="750" ht="14.25" customHeight="1">
      <c r="A750" s="158"/>
    </row>
    <row r="751" ht="14.25" customHeight="1">
      <c r="A751" s="158"/>
    </row>
    <row r="752" ht="14.25" customHeight="1">
      <c r="A752" s="158"/>
    </row>
    <row r="753" ht="14.25" customHeight="1">
      <c r="A753" s="158"/>
    </row>
    <row r="754" ht="14.25" customHeight="1">
      <c r="A754" s="158"/>
    </row>
    <row r="755" ht="14.25" customHeight="1">
      <c r="A755" s="158"/>
    </row>
    <row r="756" ht="14.25" customHeight="1">
      <c r="A756" s="158"/>
    </row>
    <row r="757" ht="14.25" customHeight="1">
      <c r="A757" s="158"/>
    </row>
    <row r="758" ht="14.25" customHeight="1">
      <c r="A758" s="158"/>
    </row>
    <row r="759" ht="14.25" customHeight="1">
      <c r="A759" s="158"/>
    </row>
    <row r="760" ht="14.25" customHeight="1">
      <c r="A760" s="158"/>
    </row>
    <row r="761" ht="14.25" customHeight="1">
      <c r="A761" s="158"/>
    </row>
    <row r="762" ht="14.25" customHeight="1">
      <c r="A762" s="158"/>
    </row>
    <row r="763" ht="14.25" customHeight="1">
      <c r="A763" s="158"/>
    </row>
    <row r="764" ht="14.25" customHeight="1">
      <c r="A764" s="158"/>
    </row>
    <row r="765" ht="14.25" customHeight="1">
      <c r="A765" s="158"/>
    </row>
    <row r="766" ht="14.25" customHeight="1">
      <c r="A766" s="158"/>
    </row>
    <row r="767" ht="14.25" customHeight="1">
      <c r="A767" s="158"/>
    </row>
    <row r="768" ht="14.25" customHeight="1">
      <c r="A768" s="158"/>
    </row>
    <row r="769" ht="14.25" customHeight="1">
      <c r="A769" s="158"/>
    </row>
    <row r="770" ht="14.25" customHeight="1">
      <c r="A770" s="158"/>
    </row>
    <row r="771" ht="14.25" customHeight="1">
      <c r="A771" s="158"/>
    </row>
    <row r="772" ht="14.25" customHeight="1">
      <c r="A772" s="158"/>
    </row>
    <row r="773" ht="14.25" customHeight="1">
      <c r="A773" s="158"/>
    </row>
    <row r="774" ht="14.25" customHeight="1">
      <c r="A774" s="158"/>
    </row>
    <row r="775" ht="14.25" customHeight="1">
      <c r="A775" s="158"/>
    </row>
    <row r="776" ht="14.25" customHeight="1">
      <c r="A776" s="158"/>
    </row>
    <row r="777" ht="14.25" customHeight="1">
      <c r="A777" s="158"/>
    </row>
    <row r="778" ht="14.25" customHeight="1">
      <c r="A778" s="158"/>
    </row>
    <row r="779" ht="14.25" customHeight="1">
      <c r="A779" s="158"/>
    </row>
    <row r="780" ht="14.25" customHeight="1">
      <c r="A780" s="158"/>
    </row>
    <row r="781" ht="14.25" customHeight="1">
      <c r="A781" s="158"/>
    </row>
    <row r="782" ht="14.25" customHeight="1">
      <c r="A782" s="158"/>
    </row>
    <row r="783" ht="14.25" customHeight="1">
      <c r="A783" s="158"/>
    </row>
    <row r="784" ht="14.25" customHeight="1">
      <c r="A784" s="158"/>
    </row>
    <row r="785" ht="14.25" customHeight="1">
      <c r="A785" s="158"/>
    </row>
    <row r="786" ht="14.25" customHeight="1">
      <c r="A786" s="158"/>
    </row>
    <row r="787" ht="14.25" customHeight="1">
      <c r="A787" s="158"/>
    </row>
    <row r="788" ht="14.25" customHeight="1">
      <c r="A788" s="158"/>
    </row>
    <row r="789" ht="14.25" customHeight="1">
      <c r="A789" s="158"/>
    </row>
    <row r="790" ht="14.25" customHeight="1">
      <c r="A790" s="158"/>
    </row>
    <row r="791" ht="14.25" customHeight="1">
      <c r="A791" s="158"/>
    </row>
    <row r="792" ht="14.25" customHeight="1">
      <c r="A792" s="158"/>
    </row>
    <row r="793" ht="14.25" customHeight="1">
      <c r="A793" s="158"/>
    </row>
    <row r="794" ht="14.25" customHeight="1">
      <c r="A794" s="158"/>
    </row>
    <row r="795" ht="14.25" customHeight="1">
      <c r="A795" s="158"/>
    </row>
    <row r="796" ht="14.25" customHeight="1">
      <c r="A796" s="158"/>
    </row>
    <row r="797" ht="14.25" customHeight="1">
      <c r="A797" s="158"/>
    </row>
    <row r="798" ht="14.25" customHeight="1">
      <c r="A798" s="158"/>
    </row>
    <row r="799" ht="14.25" customHeight="1">
      <c r="A799" s="158"/>
    </row>
    <row r="800" ht="14.25" customHeight="1">
      <c r="A800" s="158"/>
    </row>
    <row r="801" ht="14.25" customHeight="1">
      <c r="A801" s="158"/>
    </row>
    <row r="802" ht="14.25" customHeight="1">
      <c r="A802" s="158"/>
    </row>
    <row r="803" ht="14.25" customHeight="1">
      <c r="A803" s="158"/>
    </row>
    <row r="804" ht="14.25" customHeight="1">
      <c r="A804" s="158"/>
    </row>
    <row r="805" ht="14.25" customHeight="1">
      <c r="A805" s="158"/>
    </row>
    <row r="806" ht="14.25" customHeight="1">
      <c r="A806" s="158"/>
    </row>
    <row r="807" ht="14.25" customHeight="1">
      <c r="A807" s="158"/>
    </row>
    <row r="808" ht="14.25" customHeight="1">
      <c r="A808" s="158"/>
    </row>
    <row r="809" ht="14.25" customHeight="1">
      <c r="A809" s="158"/>
    </row>
    <row r="810" ht="14.25" customHeight="1">
      <c r="A810" s="158"/>
    </row>
    <row r="811" ht="14.25" customHeight="1">
      <c r="A811" s="158"/>
    </row>
    <row r="812" ht="14.25" customHeight="1">
      <c r="A812" s="158"/>
    </row>
    <row r="813" ht="14.25" customHeight="1">
      <c r="A813" s="158"/>
    </row>
    <row r="814" ht="14.25" customHeight="1">
      <c r="A814" s="158"/>
    </row>
    <row r="815" ht="14.25" customHeight="1">
      <c r="A815" s="158"/>
    </row>
    <row r="816" ht="14.25" customHeight="1">
      <c r="A816" s="158"/>
    </row>
    <row r="817" ht="14.25" customHeight="1">
      <c r="A817" s="158"/>
    </row>
    <row r="818" ht="14.25" customHeight="1">
      <c r="A818" s="158"/>
    </row>
    <row r="819" ht="14.25" customHeight="1">
      <c r="A819" s="158"/>
    </row>
    <row r="820" ht="14.25" customHeight="1">
      <c r="A820" s="158"/>
    </row>
    <row r="821" ht="14.25" customHeight="1">
      <c r="A821" s="158"/>
    </row>
    <row r="822" ht="14.25" customHeight="1">
      <c r="A822" s="158"/>
    </row>
    <row r="823" ht="14.25" customHeight="1">
      <c r="A823" s="158"/>
    </row>
    <row r="824" ht="14.25" customHeight="1">
      <c r="A824" s="158"/>
    </row>
    <row r="825" ht="14.25" customHeight="1">
      <c r="A825" s="158"/>
    </row>
    <row r="826" ht="14.25" customHeight="1">
      <c r="A826" s="158"/>
    </row>
    <row r="827" ht="14.25" customHeight="1">
      <c r="A827" s="158"/>
    </row>
    <row r="828" ht="14.25" customHeight="1">
      <c r="A828" s="158"/>
    </row>
    <row r="829" ht="14.25" customHeight="1">
      <c r="A829" s="158"/>
    </row>
    <row r="830" ht="14.25" customHeight="1">
      <c r="A830" s="158"/>
    </row>
    <row r="831" ht="14.25" customHeight="1">
      <c r="A831" s="158"/>
    </row>
    <row r="832" ht="14.25" customHeight="1">
      <c r="A832" s="158"/>
    </row>
    <row r="833" ht="14.25" customHeight="1">
      <c r="A833" s="158"/>
    </row>
    <row r="834" ht="14.25" customHeight="1">
      <c r="A834" s="158"/>
    </row>
    <row r="835" ht="14.25" customHeight="1">
      <c r="A835" s="158"/>
    </row>
    <row r="836" ht="14.25" customHeight="1">
      <c r="A836" s="158"/>
    </row>
    <row r="837" ht="14.25" customHeight="1">
      <c r="A837" s="158"/>
    </row>
    <row r="838" ht="14.25" customHeight="1">
      <c r="A838" s="158"/>
    </row>
    <row r="839" ht="14.25" customHeight="1">
      <c r="A839" s="158"/>
    </row>
    <row r="840" ht="14.25" customHeight="1">
      <c r="A840" s="158"/>
    </row>
    <row r="841" ht="14.25" customHeight="1">
      <c r="A841" s="158"/>
    </row>
    <row r="842" ht="14.25" customHeight="1">
      <c r="A842" s="158"/>
    </row>
    <row r="843" ht="14.25" customHeight="1">
      <c r="A843" s="158"/>
    </row>
    <row r="844" ht="14.25" customHeight="1">
      <c r="A844" s="158"/>
    </row>
    <row r="845" ht="14.25" customHeight="1">
      <c r="A845" s="158"/>
    </row>
    <row r="846" ht="14.25" customHeight="1">
      <c r="A846" s="158"/>
    </row>
    <row r="847" ht="14.25" customHeight="1">
      <c r="A847" s="158"/>
    </row>
    <row r="848" ht="14.25" customHeight="1">
      <c r="A848" s="158"/>
    </row>
    <row r="849" ht="14.25" customHeight="1">
      <c r="A849" s="158"/>
    </row>
    <row r="850" ht="14.25" customHeight="1">
      <c r="A850" s="158"/>
    </row>
    <row r="851" ht="14.25" customHeight="1">
      <c r="A851" s="158"/>
    </row>
    <row r="852" ht="14.25" customHeight="1">
      <c r="A852" s="158"/>
    </row>
    <row r="853" ht="14.25" customHeight="1">
      <c r="A853" s="158"/>
    </row>
    <row r="854" ht="14.25" customHeight="1">
      <c r="A854" s="158"/>
    </row>
    <row r="855" ht="14.25" customHeight="1">
      <c r="A855" s="158"/>
    </row>
    <row r="856" ht="14.25" customHeight="1">
      <c r="A856" s="158"/>
    </row>
    <row r="857" ht="14.25" customHeight="1">
      <c r="A857" s="158"/>
    </row>
    <row r="858" ht="14.25" customHeight="1">
      <c r="A858" s="158"/>
    </row>
    <row r="859" ht="14.25" customHeight="1">
      <c r="A859" s="158"/>
    </row>
    <row r="860" ht="14.25" customHeight="1">
      <c r="A860" s="158"/>
    </row>
    <row r="861" ht="14.25" customHeight="1">
      <c r="A861" s="158"/>
    </row>
    <row r="862" ht="14.25" customHeight="1">
      <c r="A862" s="158"/>
    </row>
    <row r="863" ht="14.25" customHeight="1">
      <c r="A863" s="158"/>
    </row>
    <row r="864" ht="14.25" customHeight="1">
      <c r="A864" s="158"/>
    </row>
    <row r="865" ht="14.25" customHeight="1">
      <c r="A865" s="158"/>
    </row>
    <row r="866" ht="14.25" customHeight="1">
      <c r="A866" s="158"/>
    </row>
    <row r="867" ht="14.25" customHeight="1">
      <c r="A867" s="158"/>
    </row>
    <row r="868" ht="14.25" customHeight="1">
      <c r="A868" s="158"/>
    </row>
    <row r="869" ht="14.25" customHeight="1">
      <c r="A869" s="158"/>
    </row>
    <row r="870" ht="14.25" customHeight="1">
      <c r="A870" s="158"/>
    </row>
    <row r="871" ht="14.25" customHeight="1">
      <c r="A871" s="158"/>
    </row>
    <row r="872" ht="14.25" customHeight="1">
      <c r="A872" s="158"/>
    </row>
    <row r="873" ht="14.25" customHeight="1">
      <c r="A873" s="158"/>
    </row>
    <row r="874" ht="14.25" customHeight="1">
      <c r="A874" s="158"/>
    </row>
    <row r="875" ht="14.25" customHeight="1">
      <c r="A875" s="158"/>
    </row>
    <row r="876" ht="14.25" customHeight="1">
      <c r="A876" s="158"/>
    </row>
    <row r="877" ht="14.25" customHeight="1">
      <c r="A877" s="158"/>
    </row>
    <row r="878" ht="14.25" customHeight="1">
      <c r="A878" s="158"/>
    </row>
    <row r="879" ht="14.25" customHeight="1">
      <c r="A879" s="158"/>
    </row>
    <row r="880" ht="14.25" customHeight="1">
      <c r="A880" s="158"/>
    </row>
    <row r="881" ht="14.25" customHeight="1">
      <c r="A881" s="158"/>
    </row>
    <row r="882" ht="14.25" customHeight="1">
      <c r="A882" s="158"/>
    </row>
    <row r="883" ht="14.25" customHeight="1">
      <c r="A883" s="158"/>
    </row>
    <row r="884" ht="14.25" customHeight="1">
      <c r="A884" s="158"/>
    </row>
    <row r="885" ht="14.25" customHeight="1">
      <c r="A885" s="158"/>
    </row>
    <row r="886" ht="14.25" customHeight="1">
      <c r="A886" s="158"/>
    </row>
    <row r="887" ht="14.25" customHeight="1">
      <c r="A887" s="158"/>
    </row>
    <row r="888" ht="14.25" customHeight="1">
      <c r="A888" s="158"/>
    </row>
    <row r="889" ht="14.25" customHeight="1">
      <c r="A889" s="158"/>
    </row>
    <row r="890" ht="14.25" customHeight="1">
      <c r="A890" s="158"/>
    </row>
    <row r="891" ht="14.25" customHeight="1">
      <c r="A891" s="158"/>
    </row>
    <row r="892" ht="14.25" customHeight="1">
      <c r="A892" s="158"/>
    </row>
    <row r="893" ht="14.25" customHeight="1">
      <c r="A893" s="158"/>
    </row>
    <row r="894" ht="14.25" customHeight="1">
      <c r="A894" s="158"/>
    </row>
    <row r="895" ht="14.25" customHeight="1">
      <c r="A895" s="158"/>
    </row>
    <row r="896" ht="14.25" customHeight="1">
      <c r="A896" s="158"/>
    </row>
    <row r="897" ht="14.25" customHeight="1">
      <c r="A897" s="158"/>
    </row>
    <row r="898" ht="14.25" customHeight="1">
      <c r="A898" s="158"/>
    </row>
    <row r="899" ht="14.25" customHeight="1">
      <c r="A899" s="158"/>
    </row>
    <row r="900" ht="14.25" customHeight="1">
      <c r="A900" s="158"/>
    </row>
    <row r="901" ht="14.25" customHeight="1">
      <c r="A901" s="158"/>
    </row>
    <row r="902" ht="14.25" customHeight="1">
      <c r="A902" s="158"/>
    </row>
    <row r="903" ht="14.25" customHeight="1">
      <c r="A903" s="158"/>
    </row>
    <row r="904" ht="14.25" customHeight="1">
      <c r="A904" s="158"/>
    </row>
    <row r="905" ht="14.25" customHeight="1">
      <c r="A905" s="158"/>
    </row>
    <row r="906" ht="14.25" customHeight="1">
      <c r="A906" s="158"/>
    </row>
    <row r="907" ht="14.25" customHeight="1">
      <c r="A907" s="158"/>
    </row>
    <row r="908" ht="14.25" customHeight="1">
      <c r="A908" s="158"/>
    </row>
    <row r="909" ht="14.25" customHeight="1">
      <c r="A909" s="158"/>
    </row>
    <row r="910" ht="14.25" customHeight="1">
      <c r="A910" s="158"/>
    </row>
    <row r="911" ht="14.25" customHeight="1">
      <c r="A911" s="158"/>
    </row>
    <row r="912" ht="14.25" customHeight="1">
      <c r="A912" s="158"/>
    </row>
    <row r="913" ht="14.25" customHeight="1">
      <c r="A913" s="158"/>
    </row>
    <row r="914" ht="14.25" customHeight="1">
      <c r="A914" s="158"/>
    </row>
    <row r="915" ht="14.25" customHeight="1">
      <c r="A915" s="158"/>
    </row>
    <row r="916" ht="14.25" customHeight="1">
      <c r="A916" s="158"/>
    </row>
    <row r="917" ht="14.25" customHeight="1">
      <c r="A917" s="158"/>
    </row>
    <row r="918" ht="14.25" customHeight="1">
      <c r="A918" s="158"/>
    </row>
    <row r="919" ht="14.25" customHeight="1">
      <c r="A919" s="158"/>
    </row>
    <row r="920" ht="14.25" customHeight="1">
      <c r="A920" s="158"/>
    </row>
    <row r="921" ht="14.25" customHeight="1">
      <c r="A921" s="158"/>
    </row>
    <row r="922" ht="14.25" customHeight="1">
      <c r="A922" s="158"/>
    </row>
    <row r="923" ht="14.25" customHeight="1">
      <c r="A923" s="158"/>
    </row>
    <row r="924" ht="14.25" customHeight="1">
      <c r="A924" s="158"/>
    </row>
    <row r="925" ht="14.25" customHeight="1">
      <c r="A925" s="158"/>
    </row>
    <row r="926" ht="14.25" customHeight="1">
      <c r="A926" s="158"/>
    </row>
    <row r="927" ht="14.25" customHeight="1">
      <c r="A927" s="158"/>
    </row>
    <row r="928" ht="14.25" customHeight="1">
      <c r="A928" s="158"/>
    </row>
    <row r="929" ht="14.25" customHeight="1">
      <c r="A929" s="158"/>
    </row>
    <row r="930" ht="14.25" customHeight="1">
      <c r="A930" s="158"/>
    </row>
    <row r="931" ht="14.25" customHeight="1">
      <c r="A931" s="158"/>
    </row>
    <row r="932" ht="14.25" customHeight="1">
      <c r="A932" s="158"/>
    </row>
    <row r="933" ht="14.25" customHeight="1">
      <c r="A933" s="158"/>
    </row>
    <row r="934" ht="14.25" customHeight="1">
      <c r="A934" s="158"/>
    </row>
    <row r="935" ht="14.25" customHeight="1">
      <c r="A935" s="158"/>
    </row>
    <row r="936" ht="14.25" customHeight="1">
      <c r="A936" s="158"/>
    </row>
    <row r="937" ht="14.25" customHeight="1">
      <c r="A937" s="158"/>
    </row>
    <row r="938" ht="14.25" customHeight="1">
      <c r="A938" s="158"/>
    </row>
    <row r="939" ht="14.25" customHeight="1">
      <c r="A939" s="158"/>
    </row>
    <row r="940" ht="14.25" customHeight="1">
      <c r="A940" s="158"/>
    </row>
    <row r="941" ht="14.25" customHeight="1">
      <c r="A941" s="158"/>
    </row>
    <row r="942" ht="14.25" customHeight="1">
      <c r="A942" s="158"/>
    </row>
    <row r="943" ht="14.25" customHeight="1">
      <c r="A943" s="158"/>
    </row>
    <row r="944" ht="14.25" customHeight="1">
      <c r="A944" s="158"/>
    </row>
    <row r="945" ht="14.25" customHeight="1">
      <c r="A945" s="158"/>
    </row>
    <row r="946" ht="14.25" customHeight="1">
      <c r="A946" s="158"/>
    </row>
    <row r="947" ht="14.25" customHeight="1">
      <c r="A947" s="158"/>
    </row>
    <row r="948" ht="14.25" customHeight="1">
      <c r="A948" s="158"/>
    </row>
    <row r="949" ht="14.25" customHeight="1">
      <c r="A949" s="158"/>
    </row>
    <row r="950" ht="14.25" customHeight="1">
      <c r="A950" s="158"/>
    </row>
    <row r="951" ht="14.25" customHeight="1">
      <c r="A951" s="158"/>
    </row>
    <row r="952" ht="14.25" customHeight="1">
      <c r="A952" s="158"/>
    </row>
    <row r="953" ht="14.25" customHeight="1">
      <c r="A953" s="158"/>
    </row>
    <row r="954" ht="14.25" customHeight="1">
      <c r="A954" s="158"/>
    </row>
    <row r="955" ht="14.25" customHeight="1">
      <c r="A955" s="158"/>
    </row>
    <row r="956" ht="14.25" customHeight="1">
      <c r="A956" s="158"/>
    </row>
    <row r="957" ht="14.25" customHeight="1">
      <c r="A957" s="158"/>
    </row>
    <row r="958" ht="14.25" customHeight="1">
      <c r="A958" s="158"/>
    </row>
    <row r="959" ht="14.25" customHeight="1">
      <c r="A959" s="158"/>
    </row>
    <row r="960" ht="14.25" customHeight="1">
      <c r="A960" s="158"/>
    </row>
    <row r="961" ht="14.25" customHeight="1">
      <c r="A961" s="158"/>
    </row>
    <row r="962" ht="14.25" customHeight="1">
      <c r="A962" s="158"/>
    </row>
    <row r="963" ht="14.25" customHeight="1">
      <c r="A963" s="158"/>
    </row>
    <row r="964" ht="14.25" customHeight="1">
      <c r="A964" s="158"/>
    </row>
    <row r="965" ht="14.25" customHeight="1">
      <c r="A965" s="158"/>
    </row>
    <row r="966" ht="14.25" customHeight="1">
      <c r="A966" s="158"/>
    </row>
    <row r="967" ht="14.25" customHeight="1">
      <c r="A967" s="158"/>
    </row>
    <row r="968" ht="14.25" customHeight="1">
      <c r="A968" s="158"/>
    </row>
    <row r="969" ht="14.25" customHeight="1">
      <c r="A969" s="158"/>
    </row>
    <row r="970" ht="14.25" customHeight="1">
      <c r="A970" s="158"/>
    </row>
    <row r="971" ht="14.25" customHeight="1">
      <c r="A971" s="158"/>
    </row>
    <row r="972" ht="14.25" customHeight="1">
      <c r="A972" s="158"/>
    </row>
    <row r="973" ht="14.25" customHeight="1">
      <c r="A973" s="158"/>
    </row>
    <row r="974" ht="14.25" customHeight="1">
      <c r="A974" s="158"/>
    </row>
    <row r="975" ht="14.25" customHeight="1">
      <c r="A975" s="158"/>
    </row>
    <row r="976" ht="14.25" customHeight="1">
      <c r="A976" s="158"/>
    </row>
    <row r="977" ht="14.25" customHeight="1">
      <c r="A977" s="158"/>
    </row>
    <row r="978" ht="14.25" customHeight="1">
      <c r="A978" s="158"/>
    </row>
    <row r="979" ht="14.25" customHeight="1">
      <c r="A979" s="158"/>
    </row>
    <row r="980" ht="14.25" customHeight="1">
      <c r="A980" s="158"/>
    </row>
    <row r="981" ht="14.25" customHeight="1">
      <c r="A981" s="158"/>
    </row>
    <row r="982" ht="14.25" customHeight="1">
      <c r="A982" s="158"/>
    </row>
    <row r="983" ht="14.25" customHeight="1">
      <c r="A983" s="158"/>
    </row>
    <row r="984" ht="14.25" customHeight="1">
      <c r="A984" s="158"/>
    </row>
    <row r="985" ht="14.25" customHeight="1">
      <c r="A985" s="158"/>
    </row>
    <row r="986" ht="14.25" customHeight="1">
      <c r="A986" s="158"/>
    </row>
    <row r="987" ht="14.25" customHeight="1">
      <c r="A987" s="158"/>
    </row>
    <row r="988" ht="14.25" customHeight="1">
      <c r="A988" s="158"/>
    </row>
    <row r="989" ht="14.25" customHeight="1">
      <c r="A989" s="158"/>
    </row>
    <row r="990" ht="14.25" customHeight="1">
      <c r="A990" s="158"/>
    </row>
    <row r="991" ht="14.25" customHeight="1">
      <c r="A991" s="158"/>
    </row>
    <row r="992" ht="14.25" customHeight="1">
      <c r="A992" s="158"/>
    </row>
    <row r="993" ht="14.25" customHeight="1">
      <c r="A993" s="158"/>
    </row>
    <row r="994" ht="14.25" customHeight="1">
      <c r="A994" s="158"/>
    </row>
    <row r="995" ht="14.25" customHeight="1">
      <c r="A995" s="158"/>
    </row>
    <row r="996" ht="14.25" customHeight="1">
      <c r="A996" s="158"/>
    </row>
    <row r="997" ht="14.25" customHeight="1">
      <c r="A997" s="158"/>
    </row>
    <row r="998" ht="14.25" customHeight="1">
      <c r="A998" s="158"/>
    </row>
    <row r="999" ht="14.25" customHeight="1">
      <c r="A999" s="158"/>
    </row>
    <row r="1000" ht="14.25" customHeight="1">
      <c r="A1000" s="158"/>
    </row>
  </sheetData>
  <hyperlinks>
    <hyperlink r:id="rId4" ref="E1"/>
  </hyperlinks>
  <printOptions/>
  <pageMargins bottom="0.75" footer="0.0" header="0.0" left="0.7" right="0.7" top="0.75"/>
  <pageSetup paperSize="9" scale="79" orientation="portrait"/>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71"/>
    <col customWidth="1" min="2" max="2" width="45.71"/>
    <col customWidth="1" hidden="1" min="3" max="4" width="3.86"/>
    <col customWidth="1" min="5" max="9" width="11.29"/>
    <col customWidth="1" min="10" max="26" width="8.86"/>
  </cols>
  <sheetData>
    <row r="1" ht="14.25" customHeight="1">
      <c r="A1" s="71"/>
      <c r="B1" s="243" t="str">
        <f>Company_Name</f>
        <v>ABC Company</v>
      </c>
      <c r="C1" s="243"/>
      <c r="D1" s="243"/>
    </row>
    <row r="2" ht="14.25" customHeight="1">
      <c r="A2" s="158"/>
      <c r="B2" s="243" t="s">
        <v>69</v>
      </c>
      <c r="C2" s="243"/>
      <c r="D2" s="243"/>
      <c r="E2" s="263">
        <f>'Input Assumptions'!E$18</f>
        <v>1</v>
      </c>
      <c r="F2" s="263">
        <f>'Input Assumptions'!F$18</f>
        <v>2</v>
      </c>
      <c r="G2" s="263">
        <f>'Input Assumptions'!G$18</f>
        <v>3</v>
      </c>
      <c r="H2" s="263">
        <f>'Input Assumptions'!H$18</f>
        <v>4</v>
      </c>
      <c r="I2" s="263">
        <f>'Input Assumptions'!I$18</f>
        <v>5</v>
      </c>
    </row>
    <row r="3" ht="14.25" customHeight="1">
      <c r="A3" s="158"/>
      <c r="E3" s="166" t="str">
        <f>'Input Assumptions'!E$17</f>
        <v>2024-2025</v>
      </c>
      <c r="F3" s="166" t="str">
        <f>'Input Assumptions'!F$17</f>
        <v>2025-2026</v>
      </c>
      <c r="G3" s="166" t="str">
        <f>'Input Assumptions'!G$17</f>
        <v>2026-2027</v>
      </c>
      <c r="H3" s="166" t="str">
        <f>'Input Assumptions'!H$17</f>
        <v>2027-2028</v>
      </c>
      <c r="I3" s="166" t="str">
        <f>'Input Assumptions'!I$17</f>
        <v>2028-2029</v>
      </c>
    </row>
    <row r="4" ht="14.25" customHeight="1">
      <c r="A4" s="158"/>
      <c r="B4" s="244" t="s">
        <v>51</v>
      </c>
      <c r="E4" s="41" t="str">
        <f>Model!E$12</f>
        <v>Year 1</v>
      </c>
      <c r="F4" s="41" t="str">
        <f>Model!F$12</f>
        <v>Year 2</v>
      </c>
      <c r="G4" s="41" t="str">
        <f>Model!G$12</f>
        <v>Year 3</v>
      </c>
      <c r="H4" s="41" t="str">
        <f>Model!H$12</f>
        <v>Year 4</v>
      </c>
      <c r="I4" s="41" t="str">
        <f>Model!I$12</f>
        <v>Year 5</v>
      </c>
    </row>
    <row r="5" ht="14.25" customHeight="1">
      <c r="A5" s="158"/>
      <c r="B5" s="108" t="s">
        <v>17</v>
      </c>
      <c r="E5" s="155">
        <f>EBITDA_Multiple</f>
        <v>5</v>
      </c>
    </row>
    <row r="6" ht="14.25" customHeight="1">
      <c r="A6" s="170"/>
    </row>
    <row r="7" ht="14.25" customHeight="1">
      <c r="A7" s="170"/>
      <c r="B7" s="108" t="s">
        <v>269</v>
      </c>
      <c r="E7" s="264">
        <f>Model!E$26</f>
        <v>289602.7213</v>
      </c>
      <c r="F7" s="264">
        <f>Model!F$26</f>
        <v>511549.5228</v>
      </c>
      <c r="G7" s="264">
        <f>Model!G$26</f>
        <v>593591.9543</v>
      </c>
      <c r="H7" s="264">
        <f>Model!H$26</f>
        <v>648639.9653</v>
      </c>
      <c r="I7" s="264">
        <f>Model!I$26</f>
        <v>702476.7625</v>
      </c>
    </row>
    <row r="8" ht="14.25" customHeight="1">
      <c r="A8" s="170"/>
      <c r="B8" s="108" t="s">
        <v>270</v>
      </c>
      <c r="E8" s="264">
        <f>Model!E70</f>
        <v>-32314.04755</v>
      </c>
      <c r="F8" s="264">
        <f>Model!F70</f>
        <v>48832.71601</v>
      </c>
      <c r="G8" s="264">
        <f>Model!G70</f>
        <v>73908.02304</v>
      </c>
      <c r="H8" s="264">
        <f>Model!H70</f>
        <v>83424.3532</v>
      </c>
      <c r="I8" s="264">
        <f>Model!I70</f>
        <v>92665.09306</v>
      </c>
    </row>
    <row r="9" ht="14.25" customHeight="1">
      <c r="A9" s="170"/>
      <c r="B9" s="108" t="str">
        <f>'Input Assumptions'!D38</f>
        <v>Shareholder salary adjustment (+=underpayed)</v>
      </c>
      <c r="E9" s="264">
        <f>'Input Assumptions'!E38</f>
        <v>55000</v>
      </c>
      <c r="F9" s="264">
        <f>'Input Assumptions'!F38</f>
        <v>0</v>
      </c>
      <c r="G9" s="264">
        <f>'Input Assumptions'!G38</f>
        <v>0</v>
      </c>
      <c r="H9" s="264">
        <f>'Input Assumptions'!H38</f>
        <v>0</v>
      </c>
      <c r="I9" s="264">
        <f>'Input Assumptions'!I38</f>
        <v>0</v>
      </c>
    </row>
    <row r="10" ht="14.25" customHeight="1">
      <c r="A10" s="170"/>
      <c r="B10" s="265" t="s">
        <v>271</v>
      </c>
      <c r="C10" s="265"/>
      <c r="D10" s="265"/>
      <c r="E10" s="266">
        <f t="shared" ref="E10:I10" si="1">E8-E9</f>
        <v>-87314.04755</v>
      </c>
      <c r="F10" s="266">
        <f t="shared" si="1"/>
        <v>48832.71601</v>
      </c>
      <c r="G10" s="266">
        <f t="shared" si="1"/>
        <v>73908.02304</v>
      </c>
      <c r="H10" s="266">
        <f t="shared" si="1"/>
        <v>83424.3532</v>
      </c>
      <c r="I10" s="266">
        <f t="shared" si="1"/>
        <v>92665.09306</v>
      </c>
    </row>
    <row r="11" ht="14.25" customHeight="1">
      <c r="A11" s="170"/>
      <c r="B11" s="108" t="s">
        <v>272</v>
      </c>
      <c r="E11" s="267">
        <f t="shared" ref="E11:I11" si="2">IFERROR(E10/E7,0)</f>
        <v>-0.3014959499</v>
      </c>
      <c r="F11" s="267">
        <f t="shared" si="2"/>
        <v>0.09546038816</v>
      </c>
      <c r="G11" s="267">
        <f t="shared" si="2"/>
        <v>0.1245098127</v>
      </c>
      <c r="H11" s="267">
        <f t="shared" si="2"/>
        <v>0.1286142663</v>
      </c>
      <c r="I11" s="267">
        <f t="shared" si="2"/>
        <v>0.1319119692</v>
      </c>
    </row>
    <row r="12" ht="14.25" customHeight="1">
      <c r="A12" s="170"/>
    </row>
    <row r="13" ht="14.25" customHeight="1">
      <c r="A13" s="170"/>
      <c r="B13" s="2" t="s">
        <v>273</v>
      </c>
      <c r="C13" s="2"/>
      <c r="D13" s="2"/>
      <c r="E13" s="177">
        <f>Model!E$139</f>
        <v>59850</v>
      </c>
      <c r="F13" s="177">
        <f>Model!F$139</f>
        <v>0</v>
      </c>
      <c r="G13" s="177">
        <f>Model!G$139</f>
        <v>0</v>
      </c>
      <c r="H13" s="177">
        <f>Model!H$139</f>
        <v>0</v>
      </c>
      <c r="I13" s="177">
        <f>Model!I$139</f>
        <v>0</v>
      </c>
    </row>
    <row r="14" ht="14.25" customHeight="1">
      <c r="A14" s="170"/>
      <c r="E14" s="170"/>
      <c r="F14" s="170"/>
      <c r="G14" s="170"/>
      <c r="H14" s="170"/>
      <c r="I14" s="170"/>
    </row>
    <row r="15" ht="14.25" customHeight="1">
      <c r="A15" s="170"/>
      <c r="B15" s="108" t="s">
        <v>274</v>
      </c>
      <c r="E15" s="170">
        <f t="shared" ref="E15:I15" si="3">E$10*$E$5</f>
        <v>-436570.2377</v>
      </c>
      <c r="F15" s="170">
        <f t="shared" si="3"/>
        <v>244163.58</v>
      </c>
      <c r="G15" s="170">
        <f t="shared" si="3"/>
        <v>369540.1152</v>
      </c>
      <c r="H15" s="170">
        <f t="shared" si="3"/>
        <v>417121.766</v>
      </c>
      <c r="I15" s="170">
        <f t="shared" si="3"/>
        <v>463325.4653</v>
      </c>
    </row>
    <row r="16" ht="14.25" customHeight="1">
      <c r="A16" s="170"/>
      <c r="B16" s="108" t="str">
        <f>"Estimated taxes on sale ("&amp;Corp_Tax*100&amp;"%)"</f>
        <v>Estimated taxes on sale (21%)</v>
      </c>
      <c r="E16" s="170">
        <f>Corp_Tax*E15</f>
        <v>-91679.74992</v>
      </c>
      <c r="F16" s="170">
        <f>Corp_Tax*F15</f>
        <v>51274.35181</v>
      </c>
      <c r="G16" s="170">
        <f>Corp_Tax*G15</f>
        <v>77603.42419</v>
      </c>
      <c r="H16" s="170">
        <f>Corp_Tax*H15</f>
        <v>87595.57086</v>
      </c>
      <c r="I16" s="170">
        <f>Corp_Tax*I15</f>
        <v>97298.34771</v>
      </c>
    </row>
    <row r="17" ht="14.25" customHeight="1">
      <c r="A17" s="170"/>
      <c r="E17" s="170"/>
      <c r="F17" s="170"/>
      <c r="G17" s="170"/>
      <c r="H17" s="170"/>
      <c r="I17" s="170"/>
    </row>
    <row r="18" ht="14.25" customHeight="1">
      <c r="A18" s="170"/>
      <c r="B18" s="245" t="s">
        <v>275</v>
      </c>
      <c r="C18" s="245"/>
      <c r="D18" s="245"/>
      <c r="E18" s="182">
        <f t="shared" ref="E18:I18" si="4">E15-E16</f>
        <v>-344890.4878</v>
      </c>
      <c r="F18" s="182">
        <f t="shared" si="4"/>
        <v>192889.2282</v>
      </c>
      <c r="G18" s="182">
        <f t="shared" si="4"/>
        <v>291936.691</v>
      </c>
      <c r="H18" s="182">
        <f t="shared" si="4"/>
        <v>329526.1952</v>
      </c>
      <c r="I18" s="182">
        <f t="shared" si="4"/>
        <v>366027.1176</v>
      </c>
    </row>
    <row r="19" ht="14.25" customHeight="1">
      <c r="A19" s="170"/>
      <c r="B19" s="108" t="s">
        <v>276</v>
      </c>
      <c r="E19" s="267">
        <f t="shared" ref="E19:I19" si="5">IF(E10&lt;0,0,IFERROR(E10/E18,0))</f>
        <v>0</v>
      </c>
      <c r="F19" s="267">
        <f t="shared" si="5"/>
        <v>0.253164557</v>
      </c>
      <c r="G19" s="267">
        <f t="shared" si="5"/>
        <v>0.253164557</v>
      </c>
      <c r="H19" s="267">
        <f t="shared" si="5"/>
        <v>0.253164557</v>
      </c>
      <c r="I19" s="267">
        <f t="shared" si="5"/>
        <v>0.253164557</v>
      </c>
    </row>
    <row r="20" ht="14.25" customHeight="1">
      <c r="A20" s="170"/>
      <c r="B20" s="108" t="s">
        <v>277</v>
      </c>
      <c r="E20" s="268">
        <f>'Returns on Invested Capital'!E19</f>
        <v>-0.6150987604</v>
      </c>
      <c r="F20" s="268">
        <f>'Returns on Invested Capital'!F19</f>
        <v>-0.07472657384</v>
      </c>
      <c r="G20" s="268">
        <f>'Returns on Invested Capital'!G19</f>
        <v>0.03893493766</v>
      </c>
      <c r="H20" s="268">
        <f>'Returns on Invested Capital'!H19</f>
        <v>0.07941402045</v>
      </c>
      <c r="I20" s="268">
        <f>'Returns on Invested Capital'!I19</f>
        <v>0.224069279</v>
      </c>
    </row>
    <row r="21" ht="14.25" customHeight="1">
      <c r="A21" s="158"/>
    </row>
    <row r="22" ht="14.25" customHeight="1">
      <c r="A22" s="158"/>
    </row>
    <row r="23" ht="14.25" customHeight="1">
      <c r="A23" s="158"/>
    </row>
    <row r="24" ht="14.25" customHeight="1">
      <c r="A24" s="158"/>
    </row>
    <row r="25" ht="14.25" customHeight="1">
      <c r="A25" s="158"/>
    </row>
    <row r="26" ht="14.25" customHeight="1">
      <c r="A26" s="158"/>
    </row>
    <row r="27" ht="14.25" customHeight="1">
      <c r="A27" s="158"/>
    </row>
    <row r="28" ht="14.25" customHeight="1">
      <c r="A28" s="158"/>
    </row>
    <row r="29" ht="14.25" customHeight="1">
      <c r="A29" s="158"/>
    </row>
    <row r="30" ht="14.25" customHeight="1">
      <c r="A30" s="158"/>
    </row>
    <row r="31" ht="14.25" customHeight="1">
      <c r="A31" s="158"/>
    </row>
    <row r="32" ht="14.25" customHeight="1">
      <c r="A32" s="158"/>
    </row>
    <row r="33" ht="14.25" customHeight="1">
      <c r="A33" s="158"/>
    </row>
    <row r="34" ht="14.25" customHeight="1">
      <c r="A34" s="158"/>
    </row>
    <row r="35" ht="14.25" customHeight="1">
      <c r="A35" s="158"/>
    </row>
    <row r="36" ht="14.25" customHeight="1">
      <c r="A36" s="158"/>
    </row>
    <row r="37" ht="14.25" customHeight="1">
      <c r="A37" s="158"/>
    </row>
    <row r="38" ht="14.25" customHeight="1">
      <c r="A38" s="158"/>
    </row>
    <row r="39" ht="14.25" customHeight="1">
      <c r="A39" s="158"/>
    </row>
    <row r="40" ht="14.25" customHeight="1">
      <c r="A40" s="158"/>
    </row>
    <row r="41" ht="14.25" customHeight="1">
      <c r="A41" s="158"/>
    </row>
    <row r="42" ht="14.25" customHeight="1">
      <c r="A42" s="158"/>
    </row>
    <row r="43" ht="14.25" customHeight="1">
      <c r="A43" s="158"/>
    </row>
    <row r="44" ht="14.25" customHeight="1">
      <c r="A44" s="158"/>
    </row>
    <row r="45" ht="14.25" customHeight="1">
      <c r="A45" s="158"/>
    </row>
    <row r="46" ht="14.25" customHeight="1">
      <c r="A46" s="158"/>
    </row>
    <row r="47" ht="14.25" customHeight="1">
      <c r="A47" s="158"/>
    </row>
    <row r="48" ht="14.25" customHeight="1">
      <c r="A48" s="158"/>
    </row>
    <row r="49" ht="14.25" customHeight="1">
      <c r="A49" s="158"/>
    </row>
    <row r="50" ht="14.25" customHeight="1">
      <c r="A50" s="158"/>
    </row>
    <row r="51" ht="14.25" customHeight="1">
      <c r="A51" s="158"/>
    </row>
    <row r="52" ht="14.25" customHeight="1">
      <c r="A52" s="158"/>
    </row>
    <row r="53" ht="14.25" customHeight="1">
      <c r="A53" s="158"/>
    </row>
    <row r="54" ht="14.25" customHeight="1">
      <c r="A54" s="158"/>
    </row>
    <row r="55" ht="14.25" customHeight="1">
      <c r="A55" s="158"/>
    </row>
    <row r="56" ht="14.25" customHeight="1">
      <c r="A56" s="158"/>
    </row>
    <row r="57" ht="14.25" customHeight="1">
      <c r="A57" s="158"/>
    </row>
    <row r="58" ht="14.25" customHeight="1">
      <c r="A58" s="158"/>
    </row>
    <row r="59" ht="14.25" customHeight="1">
      <c r="A59" s="158"/>
    </row>
    <row r="60" ht="14.25" customHeight="1">
      <c r="A60" s="158"/>
    </row>
    <row r="61" ht="14.25" customHeight="1">
      <c r="A61" s="158"/>
    </row>
    <row r="62" ht="14.25" customHeight="1">
      <c r="A62" s="158"/>
    </row>
    <row r="63" ht="14.25" customHeight="1">
      <c r="A63" s="158"/>
    </row>
    <row r="64" ht="14.25" customHeight="1">
      <c r="A64" s="158"/>
    </row>
    <row r="65" ht="14.25" customHeight="1">
      <c r="A65" s="158"/>
    </row>
    <row r="66" ht="14.25" customHeight="1">
      <c r="A66" s="158"/>
    </row>
    <row r="67" ht="14.25" customHeight="1">
      <c r="A67" s="158"/>
    </row>
    <row r="68" ht="14.25" customHeight="1">
      <c r="A68" s="158"/>
    </row>
    <row r="69" ht="14.25" customHeight="1">
      <c r="A69" s="158"/>
    </row>
    <row r="70" ht="14.25" customHeight="1">
      <c r="A70" s="158"/>
    </row>
    <row r="71" ht="14.25" customHeight="1">
      <c r="A71" s="158"/>
    </row>
    <row r="72" ht="14.25" customHeight="1">
      <c r="A72" s="158"/>
    </row>
    <row r="73" ht="14.25" customHeight="1">
      <c r="A73" s="158"/>
    </row>
    <row r="74" ht="14.25" customHeight="1">
      <c r="A74" s="158"/>
    </row>
    <row r="75" ht="14.25" customHeight="1">
      <c r="A75" s="158"/>
    </row>
    <row r="76" ht="14.25" customHeight="1">
      <c r="A76" s="158"/>
    </row>
    <row r="77" ht="14.25" customHeight="1">
      <c r="A77" s="158"/>
    </row>
    <row r="78" ht="14.25" customHeight="1">
      <c r="A78" s="158"/>
    </row>
    <row r="79" ht="14.25" customHeight="1">
      <c r="A79" s="158"/>
    </row>
    <row r="80" ht="14.25" customHeight="1">
      <c r="A80" s="158"/>
    </row>
    <row r="81" ht="14.25" customHeight="1">
      <c r="A81" s="158"/>
    </row>
    <row r="82" ht="14.25" customHeight="1">
      <c r="A82" s="158"/>
    </row>
    <row r="83" ht="14.25" customHeight="1">
      <c r="A83" s="158"/>
    </row>
    <row r="84" ht="14.25" customHeight="1">
      <c r="A84" s="158"/>
    </row>
    <row r="85" ht="14.25" customHeight="1">
      <c r="A85" s="158"/>
    </row>
    <row r="86" ht="14.25" customHeight="1">
      <c r="A86" s="158"/>
    </row>
    <row r="87" ht="14.25" customHeight="1">
      <c r="A87" s="158"/>
    </row>
    <row r="88" ht="14.25" customHeight="1">
      <c r="A88" s="158"/>
    </row>
    <row r="89" ht="14.25" customHeight="1">
      <c r="A89" s="158"/>
    </row>
    <row r="90" ht="14.25" customHeight="1">
      <c r="A90" s="158"/>
    </row>
    <row r="91" ht="14.25" customHeight="1">
      <c r="A91" s="158"/>
    </row>
    <row r="92" ht="14.25" customHeight="1">
      <c r="A92" s="158"/>
    </row>
    <row r="93" ht="14.25" customHeight="1">
      <c r="A93" s="158"/>
    </row>
    <row r="94" ht="14.25" customHeight="1">
      <c r="A94" s="158"/>
    </row>
    <row r="95" ht="14.25" customHeight="1">
      <c r="A95" s="158"/>
    </row>
    <row r="96" ht="14.25" customHeight="1">
      <c r="A96" s="158"/>
    </row>
    <row r="97" ht="14.25" customHeight="1">
      <c r="A97" s="158"/>
    </row>
    <row r="98" ht="14.25" customHeight="1">
      <c r="A98" s="158"/>
    </row>
    <row r="99" ht="14.25" customHeight="1">
      <c r="A99" s="158"/>
    </row>
    <row r="100" ht="14.25" customHeight="1">
      <c r="A100" s="158"/>
    </row>
    <row r="101" ht="14.25" customHeight="1">
      <c r="A101" s="158"/>
    </row>
    <row r="102" ht="14.25" customHeight="1">
      <c r="A102" s="158"/>
    </row>
    <row r="103" ht="14.25" customHeight="1">
      <c r="A103" s="158"/>
    </row>
    <row r="104" ht="14.25" customHeight="1">
      <c r="A104" s="158"/>
    </row>
    <row r="105" ht="14.25" customHeight="1">
      <c r="A105" s="158"/>
    </row>
    <row r="106" ht="14.25" customHeight="1">
      <c r="A106" s="158"/>
    </row>
    <row r="107" ht="14.25" customHeight="1">
      <c r="A107" s="158"/>
    </row>
    <row r="108" ht="14.25" customHeight="1">
      <c r="A108" s="158"/>
    </row>
    <row r="109" ht="14.25" customHeight="1">
      <c r="A109" s="158"/>
    </row>
    <row r="110" ht="14.25" customHeight="1">
      <c r="A110" s="158"/>
    </row>
    <row r="111" ht="14.25" customHeight="1">
      <c r="A111" s="158"/>
    </row>
    <row r="112" ht="14.25" customHeight="1">
      <c r="A112" s="158"/>
    </row>
    <row r="113" ht="14.25" customHeight="1">
      <c r="A113" s="158"/>
    </row>
    <row r="114" ht="14.25" customHeight="1">
      <c r="A114" s="158"/>
    </row>
    <row r="115" ht="14.25" customHeight="1">
      <c r="A115" s="158"/>
    </row>
    <row r="116" ht="14.25" customHeight="1">
      <c r="A116" s="158"/>
    </row>
    <row r="117" ht="14.25" customHeight="1">
      <c r="A117" s="158"/>
    </row>
    <row r="118" ht="14.25" customHeight="1">
      <c r="A118" s="158"/>
    </row>
    <row r="119" ht="14.25" customHeight="1">
      <c r="A119" s="158"/>
    </row>
    <row r="120" ht="14.25" customHeight="1">
      <c r="A120" s="158"/>
    </row>
    <row r="121" ht="14.25" customHeight="1">
      <c r="A121" s="158"/>
    </row>
    <row r="122" ht="14.25" customHeight="1">
      <c r="A122" s="158"/>
    </row>
    <row r="123" ht="14.25" customHeight="1">
      <c r="A123" s="158"/>
    </row>
    <row r="124" ht="14.25" customHeight="1">
      <c r="A124" s="158"/>
    </row>
    <row r="125" ht="14.25" customHeight="1">
      <c r="A125" s="158"/>
    </row>
    <row r="126" ht="14.25" customHeight="1">
      <c r="A126" s="158"/>
    </row>
    <row r="127" ht="14.25" customHeight="1">
      <c r="A127" s="158"/>
    </row>
    <row r="128" ht="14.25" customHeight="1">
      <c r="A128" s="158"/>
    </row>
    <row r="129" ht="14.25" customHeight="1">
      <c r="A129" s="158"/>
    </row>
    <row r="130" ht="14.25" customHeight="1">
      <c r="A130" s="158"/>
    </row>
    <row r="131" ht="14.25" customHeight="1">
      <c r="A131" s="158"/>
    </row>
    <row r="132" ht="14.25" customHeight="1">
      <c r="A132" s="158"/>
    </row>
    <row r="133" ht="14.25" customHeight="1">
      <c r="A133" s="158"/>
    </row>
    <row r="134" ht="14.25" customHeight="1">
      <c r="A134" s="158"/>
    </row>
    <row r="135" ht="14.25" customHeight="1">
      <c r="A135" s="158"/>
    </row>
    <row r="136" ht="14.25" customHeight="1">
      <c r="A136" s="158"/>
    </row>
    <row r="137" ht="14.25" customHeight="1">
      <c r="A137" s="158"/>
    </row>
    <row r="138" ht="14.25" customHeight="1">
      <c r="A138" s="158"/>
    </row>
    <row r="139" ht="14.25" customHeight="1">
      <c r="A139" s="158"/>
    </row>
    <row r="140" ht="14.25" customHeight="1">
      <c r="A140" s="158"/>
    </row>
    <row r="141" ht="14.25" customHeight="1">
      <c r="A141" s="158"/>
    </row>
    <row r="142" ht="14.25" customHeight="1">
      <c r="A142" s="158"/>
    </row>
    <row r="143" ht="14.25" customHeight="1">
      <c r="A143" s="158"/>
    </row>
    <row r="144" ht="14.25" customHeight="1">
      <c r="A144" s="158"/>
    </row>
    <row r="145" ht="14.25" customHeight="1">
      <c r="A145" s="158"/>
    </row>
    <row r="146" ht="14.25" customHeight="1">
      <c r="A146" s="158"/>
    </row>
    <row r="147" ht="14.25" customHeight="1">
      <c r="A147" s="158"/>
    </row>
    <row r="148" ht="14.25" customHeight="1">
      <c r="A148" s="158"/>
    </row>
    <row r="149" ht="14.25" customHeight="1">
      <c r="A149" s="158"/>
    </row>
    <row r="150" ht="14.25" customHeight="1">
      <c r="A150" s="158"/>
    </row>
    <row r="151" ht="14.25" customHeight="1">
      <c r="A151" s="158"/>
    </row>
    <row r="152" ht="14.25" customHeight="1">
      <c r="A152" s="158"/>
    </row>
    <row r="153" ht="14.25" customHeight="1">
      <c r="A153" s="158"/>
    </row>
    <row r="154" ht="14.25" customHeight="1">
      <c r="A154" s="158"/>
    </row>
    <row r="155" ht="14.25" customHeight="1">
      <c r="A155" s="158"/>
    </row>
    <row r="156" ht="14.25" customHeight="1">
      <c r="A156" s="158"/>
    </row>
    <row r="157" ht="14.25" customHeight="1">
      <c r="A157" s="158"/>
    </row>
    <row r="158" ht="14.25" customHeight="1">
      <c r="A158" s="158"/>
    </row>
    <row r="159" ht="14.25" customHeight="1">
      <c r="A159" s="158"/>
    </row>
    <row r="160" ht="14.25" customHeight="1">
      <c r="A160" s="158"/>
    </row>
    <row r="161" ht="14.25" customHeight="1">
      <c r="A161" s="158"/>
    </row>
    <row r="162" ht="14.25" customHeight="1">
      <c r="A162" s="158"/>
    </row>
    <row r="163" ht="14.25" customHeight="1">
      <c r="A163" s="158"/>
    </row>
    <row r="164" ht="14.25" customHeight="1">
      <c r="A164" s="158"/>
    </row>
    <row r="165" ht="14.25" customHeight="1">
      <c r="A165" s="158"/>
    </row>
    <row r="166" ht="14.25" customHeight="1">
      <c r="A166" s="158"/>
    </row>
    <row r="167" ht="14.25" customHeight="1">
      <c r="A167" s="158"/>
    </row>
    <row r="168" ht="14.25" customHeight="1">
      <c r="A168" s="158"/>
    </row>
    <row r="169" ht="14.25" customHeight="1">
      <c r="A169" s="158"/>
    </row>
    <row r="170" ht="14.25" customHeight="1">
      <c r="A170" s="158"/>
    </row>
    <row r="171" ht="14.25" customHeight="1">
      <c r="A171" s="158"/>
    </row>
    <row r="172" ht="14.25" customHeight="1">
      <c r="A172" s="158"/>
    </row>
    <row r="173" ht="14.25" customHeight="1">
      <c r="A173" s="158"/>
    </row>
    <row r="174" ht="14.25" customHeight="1">
      <c r="A174" s="158"/>
    </row>
    <row r="175" ht="14.25" customHeight="1">
      <c r="A175" s="158"/>
    </row>
    <row r="176" ht="14.25" customHeight="1">
      <c r="A176" s="158"/>
    </row>
    <row r="177" ht="14.25" customHeight="1">
      <c r="A177" s="158"/>
    </row>
    <row r="178" ht="14.25" customHeight="1">
      <c r="A178" s="158"/>
    </row>
    <row r="179" ht="14.25" customHeight="1">
      <c r="A179" s="158"/>
    </row>
    <row r="180" ht="14.25" customHeight="1">
      <c r="A180" s="158"/>
    </row>
    <row r="181" ht="14.25" customHeight="1">
      <c r="A181" s="158"/>
    </row>
    <row r="182" ht="14.25" customHeight="1">
      <c r="A182" s="158"/>
    </row>
    <row r="183" ht="14.25" customHeight="1">
      <c r="A183" s="158"/>
    </row>
    <row r="184" ht="14.25" customHeight="1">
      <c r="A184" s="158"/>
    </row>
    <row r="185" ht="14.25" customHeight="1">
      <c r="A185" s="158"/>
    </row>
    <row r="186" ht="14.25" customHeight="1">
      <c r="A186" s="158"/>
    </row>
    <row r="187" ht="14.25" customHeight="1">
      <c r="A187" s="158"/>
    </row>
    <row r="188" ht="14.25" customHeight="1">
      <c r="A188" s="158"/>
    </row>
    <row r="189" ht="14.25" customHeight="1">
      <c r="A189" s="158"/>
    </row>
    <row r="190" ht="14.25" customHeight="1">
      <c r="A190" s="158"/>
    </row>
    <row r="191" ht="14.25" customHeight="1">
      <c r="A191" s="158"/>
    </row>
    <row r="192" ht="14.25" customHeight="1">
      <c r="A192" s="158"/>
    </row>
    <row r="193" ht="14.25" customHeight="1">
      <c r="A193" s="158"/>
    </row>
    <row r="194" ht="14.25" customHeight="1">
      <c r="A194" s="158"/>
    </row>
    <row r="195" ht="14.25" customHeight="1">
      <c r="A195" s="158"/>
    </row>
    <row r="196" ht="14.25" customHeight="1">
      <c r="A196" s="158"/>
    </row>
    <row r="197" ht="14.25" customHeight="1">
      <c r="A197" s="158"/>
    </row>
    <row r="198" ht="14.25" customHeight="1">
      <c r="A198" s="158"/>
    </row>
    <row r="199" ht="14.25" customHeight="1">
      <c r="A199" s="158"/>
    </row>
    <row r="200" ht="14.25" customHeight="1">
      <c r="A200" s="158"/>
    </row>
    <row r="201" ht="14.25" customHeight="1">
      <c r="A201" s="158"/>
    </row>
    <row r="202" ht="14.25" customHeight="1">
      <c r="A202" s="158"/>
    </row>
    <row r="203" ht="14.25" customHeight="1">
      <c r="A203" s="158"/>
    </row>
    <row r="204" ht="14.25" customHeight="1">
      <c r="A204" s="158"/>
    </row>
    <row r="205" ht="14.25" customHeight="1">
      <c r="A205" s="158"/>
    </row>
    <row r="206" ht="14.25" customHeight="1">
      <c r="A206" s="158"/>
    </row>
    <row r="207" ht="14.25" customHeight="1">
      <c r="A207" s="158"/>
    </row>
    <row r="208" ht="14.25" customHeight="1">
      <c r="A208" s="158"/>
    </row>
    <row r="209" ht="14.25" customHeight="1">
      <c r="A209" s="158"/>
    </row>
    <row r="210" ht="14.25" customHeight="1">
      <c r="A210" s="158"/>
    </row>
    <row r="211" ht="14.25" customHeight="1">
      <c r="A211" s="158"/>
    </row>
    <row r="212" ht="14.25" customHeight="1">
      <c r="A212" s="158"/>
    </row>
    <row r="213" ht="14.25" customHeight="1">
      <c r="A213" s="158"/>
    </row>
    <row r="214" ht="14.25" customHeight="1">
      <c r="A214" s="158"/>
    </row>
    <row r="215" ht="14.25" customHeight="1">
      <c r="A215" s="158"/>
    </row>
    <row r="216" ht="14.25" customHeight="1">
      <c r="A216" s="158"/>
    </row>
    <row r="217" ht="14.25" customHeight="1">
      <c r="A217" s="158"/>
    </row>
    <row r="218" ht="14.25" customHeight="1">
      <c r="A218" s="158"/>
    </row>
    <row r="219" ht="14.25" customHeight="1">
      <c r="A219" s="158"/>
    </row>
    <row r="220" ht="14.25" customHeight="1">
      <c r="A220" s="158"/>
    </row>
    <row r="221" ht="14.25" customHeight="1">
      <c r="A221" s="158"/>
    </row>
    <row r="222" ht="14.25" customHeight="1">
      <c r="A222" s="158"/>
    </row>
    <row r="223" ht="14.25" customHeight="1">
      <c r="A223" s="158"/>
    </row>
    <row r="224" ht="14.25" customHeight="1">
      <c r="A224" s="158"/>
    </row>
    <row r="225" ht="14.25" customHeight="1">
      <c r="A225" s="158"/>
    </row>
    <row r="226" ht="14.25" customHeight="1">
      <c r="A226" s="158"/>
    </row>
    <row r="227" ht="14.25" customHeight="1">
      <c r="A227" s="158"/>
    </row>
    <row r="228" ht="14.25" customHeight="1">
      <c r="A228" s="158"/>
    </row>
    <row r="229" ht="14.25" customHeight="1">
      <c r="A229" s="158"/>
    </row>
    <row r="230" ht="14.25" customHeight="1">
      <c r="A230" s="158"/>
    </row>
    <row r="231" ht="14.25" customHeight="1">
      <c r="A231" s="158"/>
    </row>
    <row r="232" ht="14.25" customHeight="1">
      <c r="A232" s="158"/>
    </row>
    <row r="233" ht="14.25" customHeight="1">
      <c r="A233" s="158"/>
    </row>
    <row r="234" ht="14.25" customHeight="1">
      <c r="A234" s="158"/>
    </row>
    <row r="235" ht="14.25" customHeight="1">
      <c r="A235" s="158"/>
    </row>
    <row r="236" ht="14.25" customHeight="1">
      <c r="A236" s="158"/>
    </row>
    <row r="237" ht="14.25" customHeight="1">
      <c r="A237" s="158"/>
    </row>
    <row r="238" ht="14.25" customHeight="1">
      <c r="A238" s="158"/>
    </row>
    <row r="239" ht="14.25" customHeight="1">
      <c r="A239" s="158"/>
    </row>
    <row r="240" ht="14.25" customHeight="1">
      <c r="A240" s="158"/>
    </row>
    <row r="241" ht="14.25" customHeight="1">
      <c r="A241" s="158"/>
    </row>
    <row r="242" ht="14.25" customHeight="1">
      <c r="A242" s="158"/>
    </row>
    <row r="243" ht="14.25" customHeight="1">
      <c r="A243" s="158"/>
    </row>
    <row r="244" ht="14.25" customHeight="1">
      <c r="A244" s="158"/>
    </row>
    <row r="245" ht="14.25" customHeight="1">
      <c r="A245" s="158"/>
    </row>
    <row r="246" ht="14.25" customHeight="1">
      <c r="A246" s="158"/>
    </row>
    <row r="247" ht="14.25" customHeight="1">
      <c r="A247" s="158"/>
    </row>
    <row r="248" ht="14.25" customHeight="1">
      <c r="A248" s="158"/>
    </row>
    <row r="249" ht="14.25" customHeight="1">
      <c r="A249" s="158"/>
    </row>
    <row r="250" ht="14.25" customHeight="1">
      <c r="A250" s="158"/>
    </row>
    <row r="251" ht="14.25" customHeight="1">
      <c r="A251" s="158"/>
    </row>
    <row r="252" ht="14.25" customHeight="1">
      <c r="A252" s="158"/>
    </row>
    <row r="253" ht="14.25" customHeight="1">
      <c r="A253" s="158"/>
    </row>
    <row r="254" ht="14.25" customHeight="1">
      <c r="A254" s="158"/>
    </row>
    <row r="255" ht="14.25" customHeight="1">
      <c r="A255" s="158"/>
    </row>
    <row r="256" ht="14.25" customHeight="1">
      <c r="A256" s="158"/>
    </row>
    <row r="257" ht="14.25" customHeight="1">
      <c r="A257" s="158"/>
    </row>
    <row r="258" ht="14.25" customHeight="1">
      <c r="A258" s="158"/>
    </row>
    <row r="259" ht="14.25" customHeight="1">
      <c r="A259" s="158"/>
    </row>
    <row r="260" ht="14.25" customHeight="1">
      <c r="A260" s="158"/>
    </row>
    <row r="261" ht="14.25" customHeight="1">
      <c r="A261" s="158"/>
    </row>
    <row r="262" ht="14.25" customHeight="1">
      <c r="A262" s="158"/>
    </row>
    <row r="263" ht="14.25" customHeight="1">
      <c r="A263" s="158"/>
    </row>
    <row r="264" ht="14.25" customHeight="1">
      <c r="A264" s="158"/>
    </row>
    <row r="265" ht="14.25" customHeight="1">
      <c r="A265" s="158"/>
    </row>
    <row r="266" ht="14.25" customHeight="1">
      <c r="A266" s="158"/>
    </row>
    <row r="267" ht="14.25" customHeight="1">
      <c r="A267" s="158"/>
    </row>
    <row r="268" ht="14.25" customHeight="1">
      <c r="A268" s="158"/>
    </row>
    <row r="269" ht="14.25" customHeight="1">
      <c r="A269" s="158"/>
    </row>
    <row r="270" ht="14.25" customHeight="1">
      <c r="A270" s="158"/>
    </row>
    <row r="271" ht="14.25" customHeight="1">
      <c r="A271" s="158"/>
    </row>
    <row r="272" ht="14.25" customHeight="1">
      <c r="A272" s="158"/>
    </row>
    <row r="273" ht="14.25" customHeight="1">
      <c r="A273" s="158"/>
    </row>
    <row r="274" ht="14.25" customHeight="1">
      <c r="A274" s="158"/>
    </row>
    <row r="275" ht="14.25" customHeight="1">
      <c r="A275" s="158"/>
    </row>
    <row r="276" ht="14.25" customHeight="1">
      <c r="A276" s="158"/>
    </row>
    <row r="277" ht="14.25" customHeight="1">
      <c r="A277" s="158"/>
    </row>
    <row r="278" ht="14.25" customHeight="1">
      <c r="A278" s="158"/>
    </row>
    <row r="279" ht="14.25" customHeight="1">
      <c r="A279" s="158"/>
    </row>
    <row r="280" ht="14.25" customHeight="1">
      <c r="A280" s="158"/>
    </row>
    <row r="281" ht="14.25" customHeight="1">
      <c r="A281" s="158"/>
    </row>
    <row r="282" ht="14.25" customHeight="1">
      <c r="A282" s="158"/>
    </row>
    <row r="283" ht="14.25" customHeight="1">
      <c r="A283" s="158"/>
    </row>
    <row r="284" ht="14.25" customHeight="1">
      <c r="A284" s="158"/>
    </row>
    <row r="285" ht="14.25" customHeight="1">
      <c r="A285" s="158"/>
    </row>
    <row r="286" ht="14.25" customHeight="1">
      <c r="A286" s="158"/>
    </row>
    <row r="287" ht="14.25" customHeight="1">
      <c r="A287" s="158"/>
    </row>
    <row r="288" ht="14.25" customHeight="1">
      <c r="A288" s="158"/>
    </row>
    <row r="289" ht="14.25" customHeight="1">
      <c r="A289" s="158"/>
    </row>
    <row r="290" ht="14.25" customHeight="1">
      <c r="A290" s="158"/>
    </row>
    <row r="291" ht="14.25" customHeight="1">
      <c r="A291" s="158"/>
    </row>
    <row r="292" ht="14.25" customHeight="1">
      <c r="A292" s="158"/>
    </row>
    <row r="293" ht="14.25" customHeight="1">
      <c r="A293" s="158"/>
    </row>
    <row r="294" ht="14.25" customHeight="1">
      <c r="A294" s="158"/>
    </row>
    <row r="295" ht="14.25" customHeight="1">
      <c r="A295" s="158"/>
    </row>
    <row r="296" ht="14.25" customHeight="1">
      <c r="A296" s="158"/>
    </row>
    <row r="297" ht="14.25" customHeight="1">
      <c r="A297" s="158"/>
    </row>
    <row r="298" ht="14.25" customHeight="1">
      <c r="A298" s="158"/>
    </row>
    <row r="299" ht="14.25" customHeight="1">
      <c r="A299" s="158"/>
    </row>
    <row r="300" ht="14.25" customHeight="1">
      <c r="A300" s="158"/>
    </row>
    <row r="301" ht="14.25" customHeight="1">
      <c r="A301" s="158"/>
    </row>
    <row r="302" ht="14.25" customHeight="1">
      <c r="A302" s="158"/>
    </row>
    <row r="303" ht="14.25" customHeight="1">
      <c r="A303" s="158"/>
    </row>
    <row r="304" ht="14.25" customHeight="1">
      <c r="A304" s="158"/>
    </row>
    <row r="305" ht="14.25" customHeight="1">
      <c r="A305" s="158"/>
    </row>
    <row r="306" ht="14.25" customHeight="1">
      <c r="A306" s="158"/>
    </row>
    <row r="307" ht="14.25" customHeight="1">
      <c r="A307" s="158"/>
    </row>
    <row r="308" ht="14.25" customHeight="1">
      <c r="A308" s="158"/>
    </row>
    <row r="309" ht="14.25" customHeight="1">
      <c r="A309" s="158"/>
    </row>
    <row r="310" ht="14.25" customHeight="1">
      <c r="A310" s="158"/>
    </row>
    <row r="311" ht="14.25" customHeight="1">
      <c r="A311" s="158"/>
    </row>
    <row r="312" ht="14.25" customHeight="1">
      <c r="A312" s="158"/>
    </row>
    <row r="313" ht="14.25" customHeight="1">
      <c r="A313" s="158"/>
    </row>
    <row r="314" ht="14.25" customHeight="1">
      <c r="A314" s="158"/>
    </row>
    <row r="315" ht="14.25" customHeight="1">
      <c r="A315" s="158"/>
    </row>
    <row r="316" ht="14.25" customHeight="1">
      <c r="A316" s="158"/>
    </row>
    <row r="317" ht="14.25" customHeight="1">
      <c r="A317" s="158"/>
    </row>
    <row r="318" ht="14.25" customHeight="1">
      <c r="A318" s="158"/>
    </row>
    <row r="319" ht="14.25" customHeight="1">
      <c r="A319" s="158"/>
    </row>
    <row r="320" ht="14.25" customHeight="1">
      <c r="A320" s="158"/>
    </row>
    <row r="321" ht="14.25" customHeight="1">
      <c r="A321" s="158"/>
    </row>
    <row r="322" ht="14.25" customHeight="1">
      <c r="A322" s="158"/>
    </row>
    <row r="323" ht="14.25" customHeight="1">
      <c r="A323" s="158"/>
    </row>
    <row r="324" ht="14.25" customHeight="1">
      <c r="A324" s="158"/>
    </row>
    <row r="325" ht="14.25" customHeight="1">
      <c r="A325" s="158"/>
    </row>
    <row r="326" ht="14.25" customHeight="1">
      <c r="A326" s="158"/>
    </row>
    <row r="327" ht="14.25" customHeight="1">
      <c r="A327" s="158"/>
    </row>
    <row r="328" ht="14.25" customHeight="1">
      <c r="A328" s="158"/>
    </row>
    <row r="329" ht="14.25" customHeight="1">
      <c r="A329" s="158"/>
    </row>
    <row r="330" ht="14.25" customHeight="1">
      <c r="A330" s="158"/>
    </row>
    <row r="331" ht="14.25" customHeight="1">
      <c r="A331" s="158"/>
    </row>
    <row r="332" ht="14.25" customHeight="1">
      <c r="A332" s="158"/>
    </row>
    <row r="333" ht="14.25" customHeight="1">
      <c r="A333" s="158"/>
    </row>
    <row r="334" ht="14.25" customHeight="1">
      <c r="A334" s="158"/>
    </row>
    <row r="335" ht="14.25" customHeight="1">
      <c r="A335" s="158"/>
    </row>
    <row r="336" ht="14.25" customHeight="1">
      <c r="A336" s="158"/>
    </row>
    <row r="337" ht="14.25" customHeight="1">
      <c r="A337" s="158"/>
    </row>
    <row r="338" ht="14.25" customHeight="1">
      <c r="A338" s="158"/>
    </row>
    <row r="339" ht="14.25" customHeight="1">
      <c r="A339" s="158"/>
    </row>
    <row r="340" ht="14.25" customHeight="1">
      <c r="A340" s="158"/>
    </row>
    <row r="341" ht="14.25" customHeight="1">
      <c r="A341" s="158"/>
    </row>
    <row r="342" ht="14.25" customHeight="1">
      <c r="A342" s="158"/>
    </row>
    <row r="343" ht="14.25" customHeight="1">
      <c r="A343" s="158"/>
    </row>
    <row r="344" ht="14.25" customHeight="1">
      <c r="A344" s="158"/>
    </row>
    <row r="345" ht="14.25" customHeight="1">
      <c r="A345" s="158"/>
    </row>
    <row r="346" ht="14.25" customHeight="1">
      <c r="A346" s="158"/>
    </row>
    <row r="347" ht="14.25" customHeight="1">
      <c r="A347" s="158"/>
    </row>
    <row r="348" ht="14.25" customHeight="1">
      <c r="A348" s="158"/>
    </row>
    <row r="349" ht="14.25" customHeight="1">
      <c r="A349" s="158"/>
    </row>
    <row r="350" ht="14.25" customHeight="1">
      <c r="A350" s="158"/>
    </row>
    <row r="351" ht="14.25" customHeight="1">
      <c r="A351" s="158"/>
    </row>
    <row r="352" ht="14.25" customHeight="1">
      <c r="A352" s="158"/>
    </row>
    <row r="353" ht="14.25" customHeight="1">
      <c r="A353" s="158"/>
    </row>
    <row r="354" ht="14.25" customHeight="1">
      <c r="A354" s="158"/>
    </row>
    <row r="355" ht="14.25" customHeight="1">
      <c r="A355" s="158"/>
    </row>
    <row r="356" ht="14.25" customHeight="1">
      <c r="A356" s="158"/>
    </row>
    <row r="357" ht="14.25" customHeight="1">
      <c r="A357" s="158"/>
    </row>
    <row r="358" ht="14.25" customHeight="1">
      <c r="A358" s="158"/>
    </row>
    <row r="359" ht="14.25" customHeight="1">
      <c r="A359" s="158"/>
    </row>
    <row r="360" ht="14.25" customHeight="1">
      <c r="A360" s="158"/>
    </row>
    <row r="361" ht="14.25" customHeight="1">
      <c r="A361" s="158"/>
    </row>
    <row r="362" ht="14.25" customHeight="1">
      <c r="A362" s="158"/>
    </row>
    <row r="363" ht="14.25" customHeight="1">
      <c r="A363" s="158"/>
    </row>
    <row r="364" ht="14.25" customHeight="1">
      <c r="A364" s="158"/>
    </row>
    <row r="365" ht="14.25" customHeight="1">
      <c r="A365" s="158"/>
    </row>
    <row r="366" ht="14.25" customHeight="1">
      <c r="A366" s="158"/>
    </row>
    <row r="367" ht="14.25" customHeight="1">
      <c r="A367" s="158"/>
    </row>
    <row r="368" ht="14.25" customHeight="1">
      <c r="A368" s="158"/>
    </row>
    <row r="369" ht="14.25" customHeight="1">
      <c r="A369" s="158"/>
    </row>
    <row r="370" ht="14.25" customHeight="1">
      <c r="A370" s="158"/>
    </row>
    <row r="371" ht="14.25" customHeight="1">
      <c r="A371" s="158"/>
    </row>
    <row r="372" ht="14.25" customHeight="1">
      <c r="A372" s="158"/>
    </row>
    <row r="373" ht="14.25" customHeight="1">
      <c r="A373" s="158"/>
    </row>
    <row r="374" ht="14.25" customHeight="1">
      <c r="A374" s="158"/>
    </row>
    <row r="375" ht="14.25" customHeight="1">
      <c r="A375" s="158"/>
    </row>
    <row r="376" ht="14.25" customHeight="1">
      <c r="A376" s="158"/>
    </row>
    <row r="377" ht="14.25" customHeight="1">
      <c r="A377" s="158"/>
    </row>
    <row r="378" ht="14.25" customHeight="1">
      <c r="A378" s="158"/>
    </row>
    <row r="379" ht="14.25" customHeight="1">
      <c r="A379" s="158"/>
    </row>
    <row r="380" ht="14.25" customHeight="1">
      <c r="A380" s="158"/>
    </row>
    <row r="381" ht="14.25" customHeight="1">
      <c r="A381" s="158"/>
    </row>
    <row r="382" ht="14.25" customHeight="1">
      <c r="A382" s="158"/>
    </row>
    <row r="383" ht="14.25" customHeight="1">
      <c r="A383" s="158"/>
    </row>
    <row r="384" ht="14.25" customHeight="1">
      <c r="A384" s="158"/>
    </row>
    <row r="385" ht="14.25" customHeight="1">
      <c r="A385" s="158"/>
    </row>
    <row r="386" ht="14.25" customHeight="1">
      <c r="A386" s="158"/>
    </row>
    <row r="387" ht="14.25" customHeight="1">
      <c r="A387" s="158"/>
    </row>
    <row r="388" ht="14.25" customHeight="1">
      <c r="A388" s="158"/>
    </row>
    <row r="389" ht="14.25" customHeight="1">
      <c r="A389" s="158"/>
    </row>
    <row r="390" ht="14.25" customHeight="1">
      <c r="A390" s="158"/>
    </row>
    <row r="391" ht="14.25" customHeight="1">
      <c r="A391" s="158"/>
    </row>
    <row r="392" ht="14.25" customHeight="1">
      <c r="A392" s="158"/>
    </row>
    <row r="393" ht="14.25" customHeight="1">
      <c r="A393" s="158"/>
    </row>
    <row r="394" ht="14.25" customHeight="1">
      <c r="A394" s="158"/>
    </row>
    <row r="395" ht="14.25" customHeight="1">
      <c r="A395" s="158"/>
    </row>
    <row r="396" ht="14.25" customHeight="1">
      <c r="A396" s="158"/>
    </row>
    <row r="397" ht="14.25" customHeight="1">
      <c r="A397" s="158"/>
    </row>
    <row r="398" ht="14.25" customHeight="1">
      <c r="A398" s="158"/>
    </row>
    <row r="399" ht="14.25" customHeight="1">
      <c r="A399" s="158"/>
    </row>
    <row r="400" ht="14.25" customHeight="1">
      <c r="A400" s="158"/>
    </row>
    <row r="401" ht="14.25" customHeight="1">
      <c r="A401" s="158"/>
    </row>
    <row r="402" ht="14.25" customHeight="1">
      <c r="A402" s="158"/>
    </row>
    <row r="403" ht="14.25" customHeight="1">
      <c r="A403" s="158"/>
    </row>
    <row r="404" ht="14.25" customHeight="1">
      <c r="A404" s="158"/>
    </row>
    <row r="405" ht="14.25" customHeight="1">
      <c r="A405" s="158"/>
    </row>
    <row r="406" ht="14.25" customHeight="1">
      <c r="A406" s="158"/>
    </row>
    <row r="407" ht="14.25" customHeight="1">
      <c r="A407" s="158"/>
    </row>
    <row r="408" ht="14.25" customHeight="1">
      <c r="A408" s="158"/>
    </row>
    <row r="409" ht="14.25" customHeight="1">
      <c r="A409" s="158"/>
    </row>
    <row r="410" ht="14.25" customHeight="1">
      <c r="A410" s="158"/>
    </row>
    <row r="411" ht="14.25" customHeight="1">
      <c r="A411" s="158"/>
    </row>
    <row r="412" ht="14.25" customHeight="1">
      <c r="A412" s="158"/>
    </row>
    <row r="413" ht="14.25" customHeight="1">
      <c r="A413" s="158"/>
    </row>
    <row r="414" ht="14.25" customHeight="1">
      <c r="A414" s="158"/>
    </row>
    <row r="415" ht="14.25" customHeight="1">
      <c r="A415" s="158"/>
    </row>
    <row r="416" ht="14.25" customHeight="1">
      <c r="A416" s="158"/>
    </row>
    <row r="417" ht="14.25" customHeight="1">
      <c r="A417" s="158"/>
    </row>
    <row r="418" ht="14.25" customHeight="1">
      <c r="A418" s="158"/>
    </row>
    <row r="419" ht="14.25" customHeight="1">
      <c r="A419" s="158"/>
    </row>
    <row r="420" ht="14.25" customHeight="1">
      <c r="A420" s="158"/>
    </row>
    <row r="421" ht="14.25" customHeight="1">
      <c r="A421" s="158"/>
    </row>
    <row r="422" ht="14.25" customHeight="1">
      <c r="A422" s="158"/>
    </row>
    <row r="423" ht="14.25" customHeight="1">
      <c r="A423" s="158"/>
    </row>
    <row r="424" ht="14.25" customHeight="1">
      <c r="A424" s="158"/>
    </row>
    <row r="425" ht="14.25" customHeight="1">
      <c r="A425" s="158"/>
    </row>
    <row r="426" ht="14.25" customHeight="1">
      <c r="A426" s="158"/>
    </row>
    <row r="427" ht="14.25" customHeight="1">
      <c r="A427" s="158"/>
    </row>
    <row r="428" ht="14.25" customHeight="1">
      <c r="A428" s="158"/>
    </row>
    <row r="429" ht="14.25" customHeight="1">
      <c r="A429" s="158"/>
    </row>
    <row r="430" ht="14.25" customHeight="1">
      <c r="A430" s="158"/>
    </row>
    <row r="431" ht="14.25" customHeight="1">
      <c r="A431" s="158"/>
    </row>
    <row r="432" ht="14.25" customHeight="1">
      <c r="A432" s="158"/>
    </row>
    <row r="433" ht="14.25" customHeight="1">
      <c r="A433" s="158"/>
    </row>
    <row r="434" ht="14.25" customHeight="1">
      <c r="A434" s="158"/>
    </row>
    <row r="435" ht="14.25" customHeight="1">
      <c r="A435" s="158"/>
    </row>
    <row r="436" ht="14.25" customHeight="1">
      <c r="A436" s="158"/>
    </row>
    <row r="437" ht="14.25" customHeight="1">
      <c r="A437" s="158"/>
    </row>
    <row r="438" ht="14.25" customHeight="1">
      <c r="A438" s="158"/>
    </row>
    <row r="439" ht="14.25" customHeight="1">
      <c r="A439" s="158"/>
    </row>
    <row r="440" ht="14.25" customHeight="1">
      <c r="A440" s="158"/>
    </row>
    <row r="441" ht="14.25" customHeight="1">
      <c r="A441" s="158"/>
    </row>
    <row r="442" ht="14.25" customHeight="1">
      <c r="A442" s="158"/>
    </row>
    <row r="443" ht="14.25" customHeight="1">
      <c r="A443" s="158"/>
    </row>
    <row r="444" ht="14.25" customHeight="1">
      <c r="A444" s="158"/>
    </row>
    <row r="445" ht="14.25" customHeight="1">
      <c r="A445" s="158"/>
    </row>
    <row r="446" ht="14.25" customHeight="1">
      <c r="A446" s="158"/>
    </row>
    <row r="447" ht="14.25" customHeight="1">
      <c r="A447" s="158"/>
    </row>
    <row r="448" ht="14.25" customHeight="1">
      <c r="A448" s="158"/>
    </row>
    <row r="449" ht="14.25" customHeight="1">
      <c r="A449" s="158"/>
    </row>
    <row r="450" ht="14.25" customHeight="1">
      <c r="A450" s="158"/>
    </row>
    <row r="451" ht="14.25" customHeight="1">
      <c r="A451" s="158"/>
    </row>
    <row r="452" ht="14.25" customHeight="1">
      <c r="A452" s="158"/>
    </row>
    <row r="453" ht="14.25" customHeight="1">
      <c r="A453" s="158"/>
    </row>
    <row r="454" ht="14.25" customHeight="1">
      <c r="A454" s="158"/>
    </row>
    <row r="455" ht="14.25" customHeight="1">
      <c r="A455" s="158"/>
    </row>
    <row r="456" ht="14.25" customHeight="1">
      <c r="A456" s="158"/>
    </row>
    <row r="457" ht="14.25" customHeight="1">
      <c r="A457" s="158"/>
    </row>
    <row r="458" ht="14.25" customHeight="1">
      <c r="A458" s="158"/>
    </row>
    <row r="459" ht="14.25" customHeight="1">
      <c r="A459" s="158"/>
    </row>
    <row r="460" ht="14.25" customHeight="1">
      <c r="A460" s="158"/>
    </row>
    <row r="461" ht="14.25" customHeight="1">
      <c r="A461" s="158"/>
    </row>
    <row r="462" ht="14.25" customHeight="1">
      <c r="A462" s="158"/>
    </row>
    <row r="463" ht="14.25" customHeight="1">
      <c r="A463" s="158"/>
    </row>
    <row r="464" ht="14.25" customHeight="1">
      <c r="A464" s="158"/>
    </row>
    <row r="465" ht="14.25" customHeight="1">
      <c r="A465" s="158"/>
    </row>
    <row r="466" ht="14.25" customHeight="1">
      <c r="A466" s="158"/>
    </row>
    <row r="467" ht="14.25" customHeight="1">
      <c r="A467" s="158"/>
    </row>
    <row r="468" ht="14.25" customHeight="1">
      <c r="A468" s="158"/>
    </row>
    <row r="469" ht="14.25" customHeight="1">
      <c r="A469" s="158"/>
    </row>
    <row r="470" ht="14.25" customHeight="1">
      <c r="A470" s="158"/>
    </row>
    <row r="471" ht="14.25" customHeight="1">
      <c r="A471" s="158"/>
    </row>
    <row r="472" ht="14.25" customHeight="1">
      <c r="A472" s="158"/>
    </row>
    <row r="473" ht="14.25" customHeight="1">
      <c r="A473" s="158"/>
    </row>
    <row r="474" ht="14.25" customHeight="1">
      <c r="A474" s="158"/>
    </row>
    <row r="475" ht="14.25" customHeight="1">
      <c r="A475" s="158"/>
    </row>
    <row r="476" ht="14.25" customHeight="1">
      <c r="A476" s="158"/>
    </row>
    <row r="477" ht="14.25" customHeight="1">
      <c r="A477" s="158"/>
    </row>
    <row r="478" ht="14.25" customHeight="1">
      <c r="A478" s="158"/>
    </row>
    <row r="479" ht="14.25" customHeight="1">
      <c r="A479" s="158"/>
    </row>
    <row r="480" ht="14.25" customHeight="1">
      <c r="A480" s="158"/>
    </row>
    <row r="481" ht="14.25" customHeight="1">
      <c r="A481" s="158"/>
    </row>
    <row r="482" ht="14.25" customHeight="1">
      <c r="A482" s="158"/>
    </row>
    <row r="483" ht="14.25" customHeight="1">
      <c r="A483" s="158"/>
    </row>
    <row r="484" ht="14.25" customHeight="1">
      <c r="A484" s="158"/>
    </row>
    <row r="485" ht="14.25" customHeight="1">
      <c r="A485" s="158"/>
    </row>
    <row r="486" ht="14.25" customHeight="1">
      <c r="A486" s="158"/>
    </row>
    <row r="487" ht="14.25" customHeight="1">
      <c r="A487" s="158"/>
    </row>
    <row r="488" ht="14.25" customHeight="1">
      <c r="A488" s="158"/>
    </row>
    <row r="489" ht="14.25" customHeight="1">
      <c r="A489" s="158"/>
    </row>
    <row r="490" ht="14.25" customHeight="1">
      <c r="A490" s="158"/>
    </row>
    <row r="491" ht="14.25" customHeight="1">
      <c r="A491" s="158"/>
    </row>
    <row r="492" ht="14.25" customHeight="1">
      <c r="A492" s="158"/>
    </row>
    <row r="493" ht="14.25" customHeight="1">
      <c r="A493" s="158"/>
    </row>
    <row r="494" ht="14.25" customHeight="1">
      <c r="A494" s="158"/>
    </row>
    <row r="495" ht="14.25" customHeight="1">
      <c r="A495" s="158"/>
    </row>
    <row r="496" ht="14.25" customHeight="1">
      <c r="A496" s="158"/>
    </row>
    <row r="497" ht="14.25" customHeight="1">
      <c r="A497" s="158"/>
    </row>
    <row r="498" ht="14.25" customHeight="1">
      <c r="A498" s="158"/>
    </row>
    <row r="499" ht="14.25" customHeight="1">
      <c r="A499" s="158"/>
    </row>
    <row r="500" ht="14.25" customHeight="1">
      <c r="A500" s="158"/>
    </row>
    <row r="501" ht="14.25" customHeight="1">
      <c r="A501" s="158"/>
    </row>
    <row r="502" ht="14.25" customHeight="1">
      <c r="A502" s="158"/>
    </row>
    <row r="503" ht="14.25" customHeight="1">
      <c r="A503" s="158"/>
    </row>
    <row r="504" ht="14.25" customHeight="1">
      <c r="A504" s="158"/>
    </row>
    <row r="505" ht="14.25" customHeight="1">
      <c r="A505" s="158"/>
    </row>
    <row r="506" ht="14.25" customHeight="1">
      <c r="A506" s="158"/>
    </row>
    <row r="507" ht="14.25" customHeight="1">
      <c r="A507" s="158"/>
    </row>
    <row r="508" ht="14.25" customHeight="1">
      <c r="A508" s="158"/>
    </row>
    <row r="509" ht="14.25" customHeight="1">
      <c r="A509" s="158"/>
    </row>
    <row r="510" ht="14.25" customHeight="1">
      <c r="A510" s="158"/>
    </row>
    <row r="511" ht="14.25" customHeight="1">
      <c r="A511" s="158"/>
    </row>
    <row r="512" ht="14.25" customHeight="1">
      <c r="A512" s="158"/>
    </row>
    <row r="513" ht="14.25" customHeight="1">
      <c r="A513" s="158"/>
    </row>
    <row r="514" ht="14.25" customHeight="1">
      <c r="A514" s="158"/>
    </row>
    <row r="515" ht="14.25" customHeight="1">
      <c r="A515" s="158"/>
    </row>
    <row r="516" ht="14.25" customHeight="1">
      <c r="A516" s="158"/>
    </row>
    <row r="517" ht="14.25" customHeight="1">
      <c r="A517" s="158"/>
    </row>
    <row r="518" ht="14.25" customHeight="1">
      <c r="A518" s="158"/>
    </row>
    <row r="519" ht="14.25" customHeight="1">
      <c r="A519" s="158"/>
    </row>
    <row r="520" ht="14.25" customHeight="1">
      <c r="A520" s="158"/>
    </row>
    <row r="521" ht="14.25" customHeight="1">
      <c r="A521" s="158"/>
    </row>
    <row r="522" ht="14.25" customHeight="1">
      <c r="A522" s="158"/>
    </row>
    <row r="523" ht="14.25" customHeight="1">
      <c r="A523" s="158"/>
    </row>
    <row r="524" ht="14.25" customHeight="1">
      <c r="A524" s="158"/>
    </row>
    <row r="525" ht="14.25" customHeight="1">
      <c r="A525" s="158"/>
    </row>
    <row r="526" ht="14.25" customHeight="1">
      <c r="A526" s="158"/>
    </row>
    <row r="527" ht="14.25" customHeight="1">
      <c r="A527" s="158"/>
    </row>
    <row r="528" ht="14.25" customHeight="1">
      <c r="A528" s="158"/>
    </row>
    <row r="529" ht="14.25" customHeight="1">
      <c r="A529" s="158"/>
    </row>
    <row r="530" ht="14.25" customHeight="1">
      <c r="A530" s="158"/>
    </row>
    <row r="531" ht="14.25" customHeight="1">
      <c r="A531" s="158"/>
    </row>
    <row r="532" ht="14.25" customHeight="1">
      <c r="A532" s="158"/>
    </row>
    <row r="533" ht="14.25" customHeight="1">
      <c r="A533" s="158"/>
    </row>
    <row r="534" ht="14.25" customHeight="1">
      <c r="A534" s="158"/>
    </row>
    <row r="535" ht="14.25" customHeight="1">
      <c r="A535" s="158"/>
    </row>
    <row r="536" ht="14.25" customHeight="1">
      <c r="A536" s="158"/>
    </row>
    <row r="537" ht="14.25" customHeight="1">
      <c r="A537" s="158"/>
    </row>
    <row r="538" ht="14.25" customHeight="1">
      <c r="A538" s="158"/>
    </row>
    <row r="539" ht="14.25" customHeight="1">
      <c r="A539" s="158"/>
    </row>
    <row r="540" ht="14.25" customHeight="1">
      <c r="A540" s="158"/>
    </row>
    <row r="541" ht="14.25" customHeight="1">
      <c r="A541" s="158"/>
    </row>
    <row r="542" ht="14.25" customHeight="1">
      <c r="A542" s="158"/>
    </row>
    <row r="543" ht="14.25" customHeight="1">
      <c r="A543" s="158"/>
    </row>
    <row r="544" ht="14.25" customHeight="1">
      <c r="A544" s="158"/>
    </row>
    <row r="545" ht="14.25" customHeight="1">
      <c r="A545" s="158"/>
    </row>
    <row r="546" ht="14.25" customHeight="1">
      <c r="A546" s="158"/>
    </row>
    <row r="547" ht="14.25" customHeight="1">
      <c r="A547" s="158"/>
    </row>
    <row r="548" ht="14.25" customHeight="1">
      <c r="A548" s="158"/>
    </row>
    <row r="549" ht="14.25" customHeight="1">
      <c r="A549" s="158"/>
    </row>
    <row r="550" ht="14.25" customHeight="1">
      <c r="A550" s="158"/>
    </row>
    <row r="551" ht="14.25" customHeight="1">
      <c r="A551" s="158"/>
    </row>
    <row r="552" ht="14.25" customHeight="1">
      <c r="A552" s="158"/>
    </row>
    <row r="553" ht="14.25" customHeight="1">
      <c r="A553" s="158"/>
    </row>
    <row r="554" ht="14.25" customHeight="1">
      <c r="A554" s="158"/>
    </row>
    <row r="555" ht="14.25" customHeight="1">
      <c r="A555" s="158"/>
    </row>
    <row r="556" ht="14.25" customHeight="1">
      <c r="A556" s="158"/>
    </row>
    <row r="557" ht="14.25" customHeight="1">
      <c r="A557" s="158"/>
    </row>
    <row r="558" ht="14.25" customHeight="1">
      <c r="A558" s="158"/>
    </row>
    <row r="559" ht="14.25" customHeight="1">
      <c r="A559" s="158"/>
    </row>
    <row r="560" ht="14.25" customHeight="1">
      <c r="A560" s="158"/>
    </row>
    <row r="561" ht="14.25" customHeight="1">
      <c r="A561" s="158"/>
    </row>
    <row r="562" ht="14.25" customHeight="1">
      <c r="A562" s="158"/>
    </row>
    <row r="563" ht="14.25" customHeight="1">
      <c r="A563" s="158"/>
    </row>
    <row r="564" ht="14.25" customHeight="1">
      <c r="A564" s="158"/>
    </row>
    <row r="565" ht="14.25" customHeight="1">
      <c r="A565" s="158"/>
    </row>
    <row r="566" ht="14.25" customHeight="1">
      <c r="A566" s="158"/>
    </row>
    <row r="567" ht="14.25" customHeight="1">
      <c r="A567" s="158"/>
    </row>
    <row r="568" ht="14.25" customHeight="1">
      <c r="A568" s="158"/>
    </row>
    <row r="569" ht="14.25" customHeight="1">
      <c r="A569" s="158"/>
    </row>
    <row r="570" ht="14.25" customHeight="1">
      <c r="A570" s="158"/>
    </row>
    <row r="571" ht="14.25" customHeight="1">
      <c r="A571" s="158"/>
    </row>
    <row r="572" ht="14.25" customHeight="1">
      <c r="A572" s="158"/>
    </row>
    <row r="573" ht="14.25" customHeight="1">
      <c r="A573" s="158"/>
    </row>
    <row r="574" ht="14.25" customHeight="1">
      <c r="A574" s="158"/>
    </row>
    <row r="575" ht="14.25" customHeight="1">
      <c r="A575" s="158"/>
    </row>
    <row r="576" ht="14.25" customHeight="1">
      <c r="A576" s="158"/>
    </row>
    <row r="577" ht="14.25" customHeight="1">
      <c r="A577" s="158"/>
    </row>
    <row r="578" ht="14.25" customHeight="1">
      <c r="A578" s="158"/>
    </row>
    <row r="579" ht="14.25" customHeight="1">
      <c r="A579" s="158"/>
    </row>
    <row r="580" ht="14.25" customHeight="1">
      <c r="A580" s="158"/>
    </row>
    <row r="581" ht="14.25" customHeight="1">
      <c r="A581" s="158"/>
    </row>
    <row r="582" ht="14.25" customHeight="1">
      <c r="A582" s="158"/>
    </row>
    <row r="583" ht="14.25" customHeight="1">
      <c r="A583" s="158"/>
    </row>
    <row r="584" ht="14.25" customHeight="1">
      <c r="A584" s="158"/>
    </row>
    <row r="585" ht="14.25" customHeight="1">
      <c r="A585" s="158"/>
    </row>
    <row r="586" ht="14.25" customHeight="1">
      <c r="A586" s="158"/>
    </row>
    <row r="587" ht="14.25" customHeight="1">
      <c r="A587" s="158"/>
    </row>
    <row r="588" ht="14.25" customHeight="1">
      <c r="A588" s="158"/>
    </row>
    <row r="589" ht="14.25" customHeight="1">
      <c r="A589" s="158"/>
    </row>
    <row r="590" ht="14.25" customHeight="1">
      <c r="A590" s="158"/>
    </row>
    <row r="591" ht="14.25" customHeight="1">
      <c r="A591" s="158"/>
    </row>
    <row r="592" ht="14.25" customHeight="1">
      <c r="A592" s="158"/>
    </row>
    <row r="593" ht="14.25" customHeight="1">
      <c r="A593" s="158"/>
    </row>
    <row r="594" ht="14.25" customHeight="1">
      <c r="A594" s="158"/>
    </row>
    <row r="595" ht="14.25" customHeight="1">
      <c r="A595" s="158"/>
    </row>
    <row r="596" ht="14.25" customHeight="1">
      <c r="A596" s="158"/>
    </row>
    <row r="597" ht="14.25" customHeight="1">
      <c r="A597" s="158"/>
    </row>
    <row r="598" ht="14.25" customHeight="1">
      <c r="A598" s="158"/>
    </row>
    <row r="599" ht="14.25" customHeight="1">
      <c r="A599" s="158"/>
    </row>
    <row r="600" ht="14.25" customHeight="1">
      <c r="A600" s="158"/>
    </row>
    <row r="601" ht="14.25" customHeight="1">
      <c r="A601" s="158"/>
    </row>
    <row r="602" ht="14.25" customHeight="1">
      <c r="A602" s="158"/>
    </row>
    <row r="603" ht="14.25" customHeight="1">
      <c r="A603" s="158"/>
    </row>
    <row r="604" ht="14.25" customHeight="1">
      <c r="A604" s="158"/>
    </row>
    <row r="605" ht="14.25" customHeight="1">
      <c r="A605" s="158"/>
    </row>
    <row r="606" ht="14.25" customHeight="1">
      <c r="A606" s="158"/>
    </row>
    <row r="607" ht="14.25" customHeight="1">
      <c r="A607" s="158"/>
    </row>
    <row r="608" ht="14.25" customHeight="1">
      <c r="A608" s="158"/>
    </row>
    <row r="609" ht="14.25" customHeight="1">
      <c r="A609" s="158"/>
    </row>
    <row r="610" ht="14.25" customHeight="1">
      <c r="A610" s="158"/>
    </row>
    <row r="611" ht="14.25" customHeight="1">
      <c r="A611" s="158"/>
    </row>
    <row r="612" ht="14.25" customHeight="1">
      <c r="A612" s="158"/>
    </row>
    <row r="613" ht="14.25" customHeight="1">
      <c r="A613" s="158"/>
    </row>
    <row r="614" ht="14.25" customHeight="1">
      <c r="A614" s="158"/>
    </row>
    <row r="615" ht="14.25" customHeight="1">
      <c r="A615" s="158"/>
    </row>
    <row r="616" ht="14.25" customHeight="1">
      <c r="A616" s="158"/>
    </row>
    <row r="617" ht="14.25" customHeight="1">
      <c r="A617" s="158"/>
    </row>
    <row r="618" ht="14.25" customHeight="1">
      <c r="A618" s="158"/>
    </row>
    <row r="619" ht="14.25" customHeight="1">
      <c r="A619" s="158"/>
    </row>
    <row r="620" ht="14.25" customHeight="1">
      <c r="A620" s="158"/>
    </row>
    <row r="621" ht="14.25" customHeight="1">
      <c r="A621" s="158"/>
    </row>
    <row r="622" ht="14.25" customHeight="1">
      <c r="A622" s="158"/>
    </row>
    <row r="623" ht="14.25" customHeight="1">
      <c r="A623" s="158"/>
    </row>
    <row r="624" ht="14.25" customHeight="1">
      <c r="A624" s="158"/>
    </row>
    <row r="625" ht="14.25" customHeight="1">
      <c r="A625" s="158"/>
    </row>
    <row r="626" ht="14.25" customHeight="1">
      <c r="A626" s="158"/>
    </row>
    <row r="627" ht="14.25" customHeight="1">
      <c r="A627" s="158"/>
    </row>
    <row r="628" ht="14.25" customHeight="1">
      <c r="A628" s="158"/>
    </row>
    <row r="629" ht="14.25" customHeight="1">
      <c r="A629" s="158"/>
    </row>
    <row r="630" ht="14.25" customHeight="1">
      <c r="A630" s="158"/>
    </row>
    <row r="631" ht="14.25" customHeight="1">
      <c r="A631" s="158"/>
    </row>
    <row r="632" ht="14.25" customHeight="1">
      <c r="A632" s="158"/>
    </row>
    <row r="633" ht="14.25" customHeight="1">
      <c r="A633" s="158"/>
    </row>
    <row r="634" ht="14.25" customHeight="1">
      <c r="A634" s="158"/>
    </row>
    <row r="635" ht="14.25" customHeight="1">
      <c r="A635" s="158"/>
    </row>
    <row r="636" ht="14.25" customHeight="1">
      <c r="A636" s="158"/>
    </row>
    <row r="637" ht="14.25" customHeight="1">
      <c r="A637" s="158"/>
    </row>
    <row r="638" ht="14.25" customHeight="1">
      <c r="A638" s="158"/>
    </row>
    <row r="639" ht="14.25" customHeight="1">
      <c r="A639" s="158"/>
    </row>
    <row r="640" ht="14.25" customHeight="1">
      <c r="A640" s="158"/>
    </row>
    <row r="641" ht="14.25" customHeight="1">
      <c r="A641" s="158"/>
    </row>
    <row r="642" ht="14.25" customHeight="1">
      <c r="A642" s="158"/>
    </row>
    <row r="643" ht="14.25" customHeight="1">
      <c r="A643" s="158"/>
    </row>
    <row r="644" ht="14.25" customHeight="1">
      <c r="A644" s="158"/>
    </row>
    <row r="645" ht="14.25" customHeight="1">
      <c r="A645" s="158"/>
    </row>
    <row r="646" ht="14.25" customHeight="1">
      <c r="A646" s="158"/>
    </row>
    <row r="647" ht="14.25" customHeight="1">
      <c r="A647" s="158"/>
    </row>
    <row r="648" ht="14.25" customHeight="1">
      <c r="A648" s="158"/>
    </row>
    <row r="649" ht="14.25" customHeight="1">
      <c r="A649" s="158"/>
    </row>
    <row r="650" ht="14.25" customHeight="1">
      <c r="A650" s="158"/>
    </row>
    <row r="651" ht="14.25" customHeight="1">
      <c r="A651" s="158"/>
    </row>
    <row r="652" ht="14.25" customHeight="1">
      <c r="A652" s="158"/>
    </row>
    <row r="653" ht="14.25" customHeight="1">
      <c r="A653" s="158"/>
    </row>
    <row r="654" ht="14.25" customHeight="1">
      <c r="A654" s="158"/>
    </row>
    <row r="655" ht="14.25" customHeight="1">
      <c r="A655" s="158"/>
    </row>
    <row r="656" ht="14.25" customHeight="1">
      <c r="A656" s="158"/>
    </row>
    <row r="657" ht="14.25" customHeight="1">
      <c r="A657" s="158"/>
    </row>
    <row r="658" ht="14.25" customHeight="1">
      <c r="A658" s="158"/>
    </row>
    <row r="659" ht="14.25" customHeight="1">
      <c r="A659" s="158"/>
    </row>
    <row r="660" ht="14.25" customHeight="1">
      <c r="A660" s="158"/>
    </row>
    <row r="661" ht="14.25" customHeight="1">
      <c r="A661" s="158"/>
    </row>
    <row r="662" ht="14.25" customHeight="1">
      <c r="A662" s="158"/>
    </row>
    <row r="663" ht="14.25" customHeight="1">
      <c r="A663" s="158"/>
    </row>
    <row r="664" ht="14.25" customHeight="1">
      <c r="A664" s="158"/>
    </row>
    <row r="665" ht="14.25" customHeight="1">
      <c r="A665" s="158"/>
    </row>
    <row r="666" ht="14.25" customHeight="1">
      <c r="A666" s="158"/>
    </row>
    <row r="667" ht="14.25" customHeight="1">
      <c r="A667" s="158"/>
    </row>
    <row r="668" ht="14.25" customHeight="1">
      <c r="A668" s="158"/>
    </row>
    <row r="669" ht="14.25" customHeight="1">
      <c r="A669" s="158"/>
    </row>
    <row r="670" ht="14.25" customHeight="1">
      <c r="A670" s="158"/>
    </row>
    <row r="671" ht="14.25" customHeight="1">
      <c r="A671" s="158"/>
    </row>
    <row r="672" ht="14.25" customHeight="1">
      <c r="A672" s="158"/>
    </row>
    <row r="673" ht="14.25" customHeight="1">
      <c r="A673" s="158"/>
    </row>
    <row r="674" ht="14.25" customHeight="1">
      <c r="A674" s="158"/>
    </row>
    <row r="675" ht="14.25" customHeight="1">
      <c r="A675" s="158"/>
    </row>
    <row r="676" ht="14.25" customHeight="1">
      <c r="A676" s="158"/>
    </row>
    <row r="677" ht="14.25" customHeight="1">
      <c r="A677" s="158"/>
    </row>
    <row r="678" ht="14.25" customHeight="1">
      <c r="A678" s="158"/>
    </row>
    <row r="679" ht="14.25" customHeight="1">
      <c r="A679" s="158"/>
    </row>
    <row r="680" ht="14.25" customHeight="1">
      <c r="A680" s="158"/>
    </row>
    <row r="681" ht="14.25" customHeight="1">
      <c r="A681" s="158"/>
    </row>
    <row r="682" ht="14.25" customHeight="1">
      <c r="A682" s="158"/>
    </row>
    <row r="683" ht="14.25" customHeight="1">
      <c r="A683" s="158"/>
    </row>
    <row r="684" ht="14.25" customHeight="1">
      <c r="A684" s="158"/>
    </row>
    <row r="685" ht="14.25" customHeight="1">
      <c r="A685" s="158"/>
    </row>
    <row r="686" ht="14.25" customHeight="1">
      <c r="A686" s="158"/>
    </row>
    <row r="687" ht="14.25" customHeight="1">
      <c r="A687" s="158"/>
    </row>
    <row r="688" ht="14.25" customHeight="1">
      <c r="A688" s="158"/>
    </row>
    <row r="689" ht="14.25" customHeight="1">
      <c r="A689" s="158"/>
    </row>
    <row r="690" ht="14.25" customHeight="1">
      <c r="A690" s="158"/>
    </row>
    <row r="691" ht="14.25" customHeight="1">
      <c r="A691" s="158"/>
    </row>
    <row r="692" ht="14.25" customHeight="1">
      <c r="A692" s="158"/>
    </row>
    <row r="693" ht="14.25" customHeight="1">
      <c r="A693" s="158"/>
    </row>
    <row r="694" ht="14.25" customHeight="1">
      <c r="A694" s="158"/>
    </row>
    <row r="695" ht="14.25" customHeight="1">
      <c r="A695" s="158"/>
    </row>
    <row r="696" ht="14.25" customHeight="1">
      <c r="A696" s="158"/>
    </row>
    <row r="697" ht="14.25" customHeight="1">
      <c r="A697" s="158"/>
    </row>
    <row r="698" ht="14.25" customHeight="1">
      <c r="A698" s="158"/>
    </row>
    <row r="699" ht="14.25" customHeight="1">
      <c r="A699" s="158"/>
    </row>
    <row r="700" ht="14.25" customHeight="1">
      <c r="A700" s="158"/>
    </row>
    <row r="701" ht="14.25" customHeight="1">
      <c r="A701" s="158"/>
    </row>
    <row r="702" ht="14.25" customHeight="1">
      <c r="A702" s="158"/>
    </row>
    <row r="703" ht="14.25" customHeight="1">
      <c r="A703" s="158"/>
    </row>
    <row r="704" ht="14.25" customHeight="1">
      <c r="A704" s="158"/>
    </row>
    <row r="705" ht="14.25" customHeight="1">
      <c r="A705" s="158"/>
    </row>
    <row r="706" ht="14.25" customHeight="1">
      <c r="A706" s="158"/>
    </row>
    <row r="707" ht="14.25" customHeight="1">
      <c r="A707" s="158"/>
    </row>
    <row r="708" ht="14.25" customHeight="1">
      <c r="A708" s="158"/>
    </row>
    <row r="709" ht="14.25" customHeight="1">
      <c r="A709" s="158"/>
    </row>
    <row r="710" ht="14.25" customHeight="1">
      <c r="A710" s="158"/>
    </row>
    <row r="711" ht="14.25" customHeight="1">
      <c r="A711" s="158"/>
    </row>
    <row r="712" ht="14.25" customHeight="1">
      <c r="A712" s="158"/>
    </row>
    <row r="713" ht="14.25" customHeight="1">
      <c r="A713" s="158"/>
    </row>
    <row r="714" ht="14.25" customHeight="1">
      <c r="A714" s="158"/>
    </row>
    <row r="715" ht="14.25" customHeight="1">
      <c r="A715" s="158"/>
    </row>
    <row r="716" ht="14.25" customHeight="1">
      <c r="A716" s="158"/>
    </row>
    <row r="717" ht="14.25" customHeight="1">
      <c r="A717" s="158"/>
    </row>
    <row r="718" ht="14.25" customHeight="1">
      <c r="A718" s="158"/>
    </row>
    <row r="719" ht="14.25" customHeight="1">
      <c r="A719" s="158"/>
    </row>
    <row r="720" ht="14.25" customHeight="1">
      <c r="A720" s="158"/>
    </row>
    <row r="721" ht="14.25" customHeight="1">
      <c r="A721" s="158"/>
    </row>
    <row r="722" ht="14.25" customHeight="1">
      <c r="A722" s="158"/>
    </row>
    <row r="723" ht="14.25" customHeight="1">
      <c r="A723" s="158"/>
    </row>
    <row r="724" ht="14.25" customHeight="1">
      <c r="A724" s="158"/>
    </row>
    <row r="725" ht="14.25" customHeight="1">
      <c r="A725" s="158"/>
    </row>
    <row r="726" ht="14.25" customHeight="1">
      <c r="A726" s="158"/>
    </row>
    <row r="727" ht="14.25" customHeight="1">
      <c r="A727" s="158"/>
    </row>
    <row r="728" ht="14.25" customHeight="1">
      <c r="A728" s="158"/>
    </row>
    <row r="729" ht="14.25" customHeight="1">
      <c r="A729" s="158"/>
    </row>
    <row r="730" ht="14.25" customHeight="1">
      <c r="A730" s="158"/>
    </row>
    <row r="731" ht="14.25" customHeight="1">
      <c r="A731" s="158"/>
    </row>
    <row r="732" ht="14.25" customHeight="1">
      <c r="A732" s="158"/>
    </row>
    <row r="733" ht="14.25" customHeight="1">
      <c r="A733" s="158"/>
    </row>
    <row r="734" ht="14.25" customHeight="1">
      <c r="A734" s="158"/>
    </row>
    <row r="735" ht="14.25" customHeight="1">
      <c r="A735" s="158"/>
    </row>
    <row r="736" ht="14.25" customHeight="1">
      <c r="A736" s="158"/>
    </row>
    <row r="737" ht="14.25" customHeight="1">
      <c r="A737" s="158"/>
    </row>
    <row r="738" ht="14.25" customHeight="1">
      <c r="A738" s="158"/>
    </row>
    <row r="739" ht="14.25" customHeight="1">
      <c r="A739" s="158"/>
    </row>
    <row r="740" ht="14.25" customHeight="1">
      <c r="A740" s="158"/>
    </row>
    <row r="741" ht="14.25" customHeight="1">
      <c r="A741" s="158"/>
    </row>
    <row r="742" ht="14.25" customHeight="1">
      <c r="A742" s="158"/>
    </row>
    <row r="743" ht="14.25" customHeight="1">
      <c r="A743" s="158"/>
    </row>
    <row r="744" ht="14.25" customHeight="1">
      <c r="A744" s="158"/>
    </row>
    <row r="745" ht="14.25" customHeight="1">
      <c r="A745" s="158"/>
    </row>
    <row r="746" ht="14.25" customHeight="1">
      <c r="A746" s="158"/>
    </row>
    <row r="747" ht="14.25" customHeight="1">
      <c r="A747" s="158"/>
    </row>
    <row r="748" ht="14.25" customHeight="1">
      <c r="A748" s="158"/>
    </row>
    <row r="749" ht="14.25" customHeight="1">
      <c r="A749" s="158"/>
    </row>
    <row r="750" ht="14.25" customHeight="1">
      <c r="A750" s="158"/>
    </row>
    <row r="751" ht="14.25" customHeight="1">
      <c r="A751" s="158"/>
    </row>
    <row r="752" ht="14.25" customHeight="1">
      <c r="A752" s="158"/>
    </row>
    <row r="753" ht="14.25" customHeight="1">
      <c r="A753" s="158"/>
    </row>
    <row r="754" ht="14.25" customHeight="1">
      <c r="A754" s="158"/>
    </row>
    <row r="755" ht="14.25" customHeight="1">
      <c r="A755" s="158"/>
    </row>
    <row r="756" ht="14.25" customHeight="1">
      <c r="A756" s="158"/>
    </row>
    <row r="757" ht="14.25" customHeight="1">
      <c r="A757" s="158"/>
    </row>
    <row r="758" ht="14.25" customHeight="1">
      <c r="A758" s="158"/>
    </row>
    <row r="759" ht="14.25" customHeight="1">
      <c r="A759" s="158"/>
    </row>
    <row r="760" ht="14.25" customHeight="1">
      <c r="A760" s="158"/>
    </row>
    <row r="761" ht="14.25" customHeight="1">
      <c r="A761" s="158"/>
    </row>
    <row r="762" ht="14.25" customHeight="1">
      <c r="A762" s="158"/>
    </row>
    <row r="763" ht="14.25" customHeight="1">
      <c r="A763" s="158"/>
    </row>
    <row r="764" ht="14.25" customHeight="1">
      <c r="A764" s="158"/>
    </row>
    <row r="765" ht="14.25" customHeight="1">
      <c r="A765" s="158"/>
    </row>
    <row r="766" ht="14.25" customHeight="1">
      <c r="A766" s="158"/>
    </row>
    <row r="767" ht="14.25" customHeight="1">
      <c r="A767" s="158"/>
    </row>
    <row r="768" ht="14.25" customHeight="1">
      <c r="A768" s="158"/>
    </row>
    <row r="769" ht="14.25" customHeight="1">
      <c r="A769" s="158"/>
    </row>
    <row r="770" ht="14.25" customHeight="1">
      <c r="A770" s="158"/>
    </row>
    <row r="771" ht="14.25" customHeight="1">
      <c r="A771" s="158"/>
    </row>
    <row r="772" ht="14.25" customHeight="1">
      <c r="A772" s="158"/>
    </row>
    <row r="773" ht="14.25" customHeight="1">
      <c r="A773" s="158"/>
    </row>
    <row r="774" ht="14.25" customHeight="1">
      <c r="A774" s="158"/>
    </row>
    <row r="775" ht="14.25" customHeight="1">
      <c r="A775" s="158"/>
    </row>
    <row r="776" ht="14.25" customHeight="1">
      <c r="A776" s="158"/>
    </row>
    <row r="777" ht="14.25" customHeight="1">
      <c r="A777" s="158"/>
    </row>
    <row r="778" ht="14.25" customHeight="1">
      <c r="A778" s="158"/>
    </row>
    <row r="779" ht="14.25" customHeight="1">
      <c r="A779" s="158"/>
    </row>
    <row r="780" ht="14.25" customHeight="1">
      <c r="A780" s="158"/>
    </row>
    <row r="781" ht="14.25" customHeight="1">
      <c r="A781" s="158"/>
    </row>
    <row r="782" ht="14.25" customHeight="1">
      <c r="A782" s="158"/>
    </row>
    <row r="783" ht="14.25" customHeight="1">
      <c r="A783" s="158"/>
    </row>
    <row r="784" ht="14.25" customHeight="1">
      <c r="A784" s="158"/>
    </row>
    <row r="785" ht="14.25" customHeight="1">
      <c r="A785" s="158"/>
    </row>
    <row r="786" ht="14.25" customHeight="1">
      <c r="A786" s="158"/>
    </row>
    <row r="787" ht="14.25" customHeight="1">
      <c r="A787" s="158"/>
    </row>
    <row r="788" ht="14.25" customHeight="1">
      <c r="A788" s="158"/>
    </row>
    <row r="789" ht="14.25" customHeight="1">
      <c r="A789" s="158"/>
    </row>
    <row r="790" ht="14.25" customHeight="1">
      <c r="A790" s="158"/>
    </row>
    <row r="791" ht="14.25" customHeight="1">
      <c r="A791" s="158"/>
    </row>
    <row r="792" ht="14.25" customHeight="1">
      <c r="A792" s="158"/>
    </row>
    <row r="793" ht="14.25" customHeight="1">
      <c r="A793" s="158"/>
    </row>
    <row r="794" ht="14.25" customHeight="1">
      <c r="A794" s="158"/>
    </row>
    <row r="795" ht="14.25" customHeight="1">
      <c r="A795" s="158"/>
    </row>
    <row r="796" ht="14.25" customHeight="1">
      <c r="A796" s="158"/>
    </row>
    <row r="797" ht="14.25" customHeight="1">
      <c r="A797" s="158"/>
    </row>
    <row r="798" ht="14.25" customHeight="1">
      <c r="A798" s="158"/>
    </row>
    <row r="799" ht="14.25" customHeight="1">
      <c r="A799" s="158"/>
    </row>
    <row r="800" ht="14.25" customHeight="1">
      <c r="A800" s="158"/>
    </row>
    <row r="801" ht="14.25" customHeight="1">
      <c r="A801" s="158"/>
    </row>
    <row r="802" ht="14.25" customHeight="1">
      <c r="A802" s="158"/>
    </row>
    <row r="803" ht="14.25" customHeight="1">
      <c r="A803" s="158"/>
    </row>
    <row r="804" ht="14.25" customHeight="1">
      <c r="A804" s="158"/>
    </row>
    <row r="805" ht="14.25" customHeight="1">
      <c r="A805" s="158"/>
    </row>
    <row r="806" ht="14.25" customHeight="1">
      <c r="A806" s="158"/>
    </row>
    <row r="807" ht="14.25" customHeight="1">
      <c r="A807" s="158"/>
    </row>
    <row r="808" ht="14.25" customHeight="1">
      <c r="A808" s="158"/>
    </row>
    <row r="809" ht="14.25" customHeight="1">
      <c r="A809" s="158"/>
    </row>
    <row r="810" ht="14.25" customHeight="1">
      <c r="A810" s="158"/>
    </row>
    <row r="811" ht="14.25" customHeight="1">
      <c r="A811" s="158"/>
    </row>
    <row r="812" ht="14.25" customHeight="1">
      <c r="A812" s="158"/>
    </row>
    <row r="813" ht="14.25" customHeight="1">
      <c r="A813" s="158"/>
    </row>
    <row r="814" ht="14.25" customHeight="1">
      <c r="A814" s="158"/>
    </row>
    <row r="815" ht="14.25" customHeight="1">
      <c r="A815" s="158"/>
    </row>
    <row r="816" ht="14.25" customHeight="1">
      <c r="A816" s="158"/>
    </row>
    <row r="817" ht="14.25" customHeight="1">
      <c r="A817" s="158"/>
    </row>
    <row r="818" ht="14.25" customHeight="1">
      <c r="A818" s="158"/>
    </row>
    <row r="819" ht="14.25" customHeight="1">
      <c r="A819" s="158"/>
    </row>
    <row r="820" ht="14.25" customHeight="1">
      <c r="A820" s="158"/>
    </row>
    <row r="821" ht="14.25" customHeight="1">
      <c r="A821" s="158"/>
    </row>
    <row r="822" ht="14.25" customHeight="1">
      <c r="A822" s="158"/>
    </row>
    <row r="823" ht="14.25" customHeight="1">
      <c r="A823" s="158"/>
    </row>
    <row r="824" ht="14.25" customHeight="1">
      <c r="A824" s="158"/>
    </row>
    <row r="825" ht="14.25" customHeight="1">
      <c r="A825" s="158"/>
    </row>
    <row r="826" ht="14.25" customHeight="1">
      <c r="A826" s="158"/>
    </row>
    <row r="827" ht="14.25" customHeight="1">
      <c r="A827" s="158"/>
    </row>
    <row r="828" ht="14.25" customHeight="1">
      <c r="A828" s="158"/>
    </row>
    <row r="829" ht="14.25" customHeight="1">
      <c r="A829" s="158"/>
    </row>
    <row r="830" ht="14.25" customHeight="1">
      <c r="A830" s="158"/>
    </row>
    <row r="831" ht="14.25" customHeight="1">
      <c r="A831" s="158"/>
    </row>
    <row r="832" ht="14.25" customHeight="1">
      <c r="A832" s="158"/>
    </row>
    <row r="833" ht="14.25" customHeight="1">
      <c r="A833" s="158"/>
    </row>
    <row r="834" ht="14.25" customHeight="1">
      <c r="A834" s="158"/>
    </row>
    <row r="835" ht="14.25" customHeight="1">
      <c r="A835" s="158"/>
    </row>
    <row r="836" ht="14.25" customHeight="1">
      <c r="A836" s="158"/>
    </row>
    <row r="837" ht="14.25" customHeight="1">
      <c r="A837" s="158"/>
    </row>
    <row r="838" ht="14.25" customHeight="1">
      <c r="A838" s="158"/>
    </row>
    <row r="839" ht="14.25" customHeight="1">
      <c r="A839" s="158"/>
    </row>
    <row r="840" ht="14.25" customHeight="1">
      <c r="A840" s="158"/>
    </row>
    <row r="841" ht="14.25" customHeight="1">
      <c r="A841" s="158"/>
    </row>
    <row r="842" ht="14.25" customHeight="1">
      <c r="A842" s="158"/>
    </row>
    <row r="843" ht="14.25" customHeight="1">
      <c r="A843" s="158"/>
    </row>
    <row r="844" ht="14.25" customHeight="1">
      <c r="A844" s="158"/>
    </row>
    <row r="845" ht="14.25" customHeight="1">
      <c r="A845" s="158"/>
    </row>
    <row r="846" ht="14.25" customHeight="1">
      <c r="A846" s="158"/>
    </row>
    <row r="847" ht="14.25" customHeight="1">
      <c r="A847" s="158"/>
    </row>
    <row r="848" ht="14.25" customHeight="1">
      <c r="A848" s="158"/>
    </row>
    <row r="849" ht="14.25" customHeight="1">
      <c r="A849" s="158"/>
    </row>
    <row r="850" ht="14.25" customHeight="1">
      <c r="A850" s="158"/>
    </row>
    <row r="851" ht="14.25" customHeight="1">
      <c r="A851" s="158"/>
    </row>
    <row r="852" ht="14.25" customHeight="1">
      <c r="A852" s="158"/>
    </row>
    <row r="853" ht="14.25" customHeight="1">
      <c r="A853" s="158"/>
    </row>
    <row r="854" ht="14.25" customHeight="1">
      <c r="A854" s="158"/>
    </row>
    <row r="855" ht="14.25" customHeight="1">
      <c r="A855" s="158"/>
    </row>
    <row r="856" ht="14.25" customHeight="1">
      <c r="A856" s="158"/>
    </row>
    <row r="857" ht="14.25" customHeight="1">
      <c r="A857" s="158"/>
    </row>
    <row r="858" ht="14.25" customHeight="1">
      <c r="A858" s="158"/>
    </row>
    <row r="859" ht="14.25" customHeight="1">
      <c r="A859" s="158"/>
    </row>
    <row r="860" ht="14.25" customHeight="1">
      <c r="A860" s="158"/>
    </row>
    <row r="861" ht="14.25" customHeight="1">
      <c r="A861" s="158"/>
    </row>
    <row r="862" ht="14.25" customHeight="1">
      <c r="A862" s="158"/>
    </row>
    <row r="863" ht="14.25" customHeight="1">
      <c r="A863" s="158"/>
    </row>
    <row r="864" ht="14.25" customHeight="1">
      <c r="A864" s="158"/>
    </row>
    <row r="865" ht="14.25" customHeight="1">
      <c r="A865" s="158"/>
    </row>
    <row r="866" ht="14.25" customHeight="1">
      <c r="A866" s="158"/>
    </row>
    <row r="867" ht="14.25" customHeight="1">
      <c r="A867" s="158"/>
    </row>
    <row r="868" ht="14.25" customHeight="1">
      <c r="A868" s="158"/>
    </row>
    <row r="869" ht="14.25" customHeight="1">
      <c r="A869" s="158"/>
    </row>
    <row r="870" ht="14.25" customHeight="1">
      <c r="A870" s="158"/>
    </row>
    <row r="871" ht="14.25" customHeight="1">
      <c r="A871" s="158"/>
    </row>
    <row r="872" ht="14.25" customHeight="1">
      <c r="A872" s="158"/>
    </row>
    <row r="873" ht="14.25" customHeight="1">
      <c r="A873" s="158"/>
    </row>
    <row r="874" ht="14.25" customHeight="1">
      <c r="A874" s="158"/>
    </row>
    <row r="875" ht="14.25" customHeight="1">
      <c r="A875" s="158"/>
    </row>
    <row r="876" ht="14.25" customHeight="1">
      <c r="A876" s="158"/>
    </row>
    <row r="877" ht="14.25" customHeight="1">
      <c r="A877" s="158"/>
    </row>
    <row r="878" ht="14.25" customHeight="1">
      <c r="A878" s="158"/>
    </row>
    <row r="879" ht="14.25" customHeight="1">
      <c r="A879" s="158"/>
    </row>
    <row r="880" ht="14.25" customHeight="1">
      <c r="A880" s="158"/>
    </row>
    <row r="881" ht="14.25" customHeight="1">
      <c r="A881" s="158"/>
    </row>
    <row r="882" ht="14.25" customHeight="1">
      <c r="A882" s="158"/>
    </row>
    <row r="883" ht="14.25" customHeight="1">
      <c r="A883" s="158"/>
    </row>
    <row r="884" ht="14.25" customHeight="1">
      <c r="A884" s="158"/>
    </row>
    <row r="885" ht="14.25" customHeight="1">
      <c r="A885" s="158"/>
    </row>
    <row r="886" ht="14.25" customHeight="1">
      <c r="A886" s="158"/>
    </row>
    <row r="887" ht="14.25" customHeight="1">
      <c r="A887" s="158"/>
    </row>
    <row r="888" ht="14.25" customHeight="1">
      <c r="A888" s="158"/>
    </row>
    <row r="889" ht="14.25" customHeight="1">
      <c r="A889" s="158"/>
    </row>
    <row r="890" ht="14.25" customHeight="1">
      <c r="A890" s="158"/>
    </row>
    <row r="891" ht="14.25" customHeight="1">
      <c r="A891" s="158"/>
    </row>
    <row r="892" ht="14.25" customHeight="1">
      <c r="A892" s="158"/>
    </row>
    <row r="893" ht="14.25" customHeight="1">
      <c r="A893" s="158"/>
    </row>
    <row r="894" ht="14.25" customHeight="1">
      <c r="A894" s="158"/>
    </row>
    <row r="895" ht="14.25" customHeight="1">
      <c r="A895" s="158"/>
    </row>
    <row r="896" ht="14.25" customHeight="1">
      <c r="A896" s="158"/>
    </row>
    <row r="897" ht="14.25" customHeight="1">
      <c r="A897" s="158"/>
    </row>
    <row r="898" ht="14.25" customHeight="1">
      <c r="A898" s="158"/>
    </row>
    <row r="899" ht="14.25" customHeight="1">
      <c r="A899" s="158"/>
    </row>
    <row r="900" ht="14.25" customHeight="1">
      <c r="A900" s="158"/>
    </row>
    <row r="901" ht="14.25" customHeight="1">
      <c r="A901" s="158"/>
    </row>
    <row r="902" ht="14.25" customHeight="1">
      <c r="A902" s="158"/>
    </row>
    <row r="903" ht="14.25" customHeight="1">
      <c r="A903" s="158"/>
    </row>
    <row r="904" ht="14.25" customHeight="1">
      <c r="A904" s="158"/>
    </row>
    <row r="905" ht="14.25" customHeight="1">
      <c r="A905" s="158"/>
    </row>
    <row r="906" ht="14.25" customHeight="1">
      <c r="A906" s="158"/>
    </row>
    <row r="907" ht="14.25" customHeight="1">
      <c r="A907" s="158"/>
    </row>
    <row r="908" ht="14.25" customHeight="1">
      <c r="A908" s="158"/>
    </row>
    <row r="909" ht="14.25" customHeight="1">
      <c r="A909" s="158"/>
    </row>
    <row r="910" ht="14.25" customHeight="1">
      <c r="A910" s="158"/>
    </row>
    <row r="911" ht="14.25" customHeight="1">
      <c r="A911" s="158"/>
    </row>
    <row r="912" ht="14.25" customHeight="1">
      <c r="A912" s="158"/>
    </row>
    <row r="913" ht="14.25" customHeight="1">
      <c r="A913" s="158"/>
    </row>
    <row r="914" ht="14.25" customHeight="1">
      <c r="A914" s="158"/>
    </row>
    <row r="915" ht="14.25" customHeight="1">
      <c r="A915" s="158"/>
    </row>
    <row r="916" ht="14.25" customHeight="1">
      <c r="A916" s="158"/>
    </row>
    <row r="917" ht="14.25" customHeight="1">
      <c r="A917" s="158"/>
    </row>
    <row r="918" ht="14.25" customHeight="1">
      <c r="A918" s="158"/>
    </row>
    <row r="919" ht="14.25" customHeight="1">
      <c r="A919" s="158"/>
    </row>
    <row r="920" ht="14.25" customHeight="1">
      <c r="A920" s="158"/>
    </row>
    <row r="921" ht="14.25" customHeight="1">
      <c r="A921" s="158"/>
    </row>
    <row r="922" ht="14.25" customHeight="1">
      <c r="A922" s="158"/>
    </row>
    <row r="923" ht="14.25" customHeight="1">
      <c r="A923" s="158"/>
    </row>
    <row r="924" ht="14.25" customHeight="1">
      <c r="A924" s="158"/>
    </row>
    <row r="925" ht="14.25" customHeight="1">
      <c r="A925" s="158"/>
    </row>
    <row r="926" ht="14.25" customHeight="1">
      <c r="A926" s="158"/>
    </row>
    <row r="927" ht="14.25" customHeight="1">
      <c r="A927" s="158"/>
    </row>
    <row r="928" ht="14.25" customHeight="1">
      <c r="A928" s="158"/>
    </row>
    <row r="929" ht="14.25" customHeight="1">
      <c r="A929" s="158"/>
    </row>
    <row r="930" ht="14.25" customHeight="1">
      <c r="A930" s="158"/>
    </row>
    <row r="931" ht="14.25" customHeight="1">
      <c r="A931" s="158"/>
    </row>
    <row r="932" ht="14.25" customHeight="1">
      <c r="A932" s="158"/>
    </row>
    <row r="933" ht="14.25" customHeight="1">
      <c r="A933" s="158"/>
    </row>
    <row r="934" ht="14.25" customHeight="1">
      <c r="A934" s="158"/>
    </row>
    <row r="935" ht="14.25" customHeight="1">
      <c r="A935" s="158"/>
    </row>
    <row r="936" ht="14.25" customHeight="1">
      <c r="A936" s="158"/>
    </row>
    <row r="937" ht="14.25" customHeight="1">
      <c r="A937" s="158"/>
    </row>
    <row r="938" ht="14.25" customHeight="1">
      <c r="A938" s="158"/>
    </row>
    <row r="939" ht="14.25" customHeight="1">
      <c r="A939" s="158"/>
    </row>
    <row r="940" ht="14.25" customHeight="1">
      <c r="A940" s="158"/>
    </row>
    <row r="941" ht="14.25" customHeight="1">
      <c r="A941" s="158"/>
    </row>
    <row r="942" ht="14.25" customHeight="1">
      <c r="A942" s="158"/>
    </row>
    <row r="943" ht="14.25" customHeight="1">
      <c r="A943" s="158"/>
    </row>
    <row r="944" ht="14.25" customHeight="1">
      <c r="A944" s="158"/>
    </row>
    <row r="945" ht="14.25" customHeight="1">
      <c r="A945" s="158"/>
    </row>
    <row r="946" ht="14.25" customHeight="1">
      <c r="A946" s="158"/>
    </row>
    <row r="947" ht="14.25" customHeight="1">
      <c r="A947" s="158"/>
    </row>
    <row r="948" ht="14.25" customHeight="1">
      <c r="A948" s="158"/>
    </row>
    <row r="949" ht="14.25" customHeight="1">
      <c r="A949" s="158"/>
    </row>
    <row r="950" ht="14.25" customHeight="1">
      <c r="A950" s="158"/>
    </row>
    <row r="951" ht="14.25" customHeight="1">
      <c r="A951" s="158"/>
    </row>
    <row r="952" ht="14.25" customHeight="1">
      <c r="A952" s="158"/>
    </row>
    <row r="953" ht="14.25" customHeight="1">
      <c r="A953" s="158"/>
    </row>
    <row r="954" ht="14.25" customHeight="1">
      <c r="A954" s="158"/>
    </row>
    <row r="955" ht="14.25" customHeight="1">
      <c r="A955" s="158"/>
    </row>
    <row r="956" ht="14.25" customHeight="1">
      <c r="A956" s="158"/>
    </row>
    <row r="957" ht="14.25" customHeight="1">
      <c r="A957" s="158"/>
    </row>
    <row r="958" ht="14.25" customHeight="1">
      <c r="A958" s="158"/>
    </row>
    <row r="959" ht="14.25" customHeight="1">
      <c r="A959" s="158"/>
    </row>
    <row r="960" ht="14.25" customHeight="1">
      <c r="A960" s="158"/>
    </row>
    <row r="961" ht="14.25" customHeight="1">
      <c r="A961" s="158"/>
    </row>
    <row r="962" ht="14.25" customHeight="1">
      <c r="A962" s="158"/>
    </row>
    <row r="963" ht="14.25" customHeight="1">
      <c r="A963" s="158"/>
    </row>
    <row r="964" ht="14.25" customHeight="1">
      <c r="A964" s="158"/>
    </row>
    <row r="965" ht="14.25" customHeight="1">
      <c r="A965" s="158"/>
    </row>
    <row r="966" ht="14.25" customHeight="1">
      <c r="A966" s="158"/>
    </row>
    <row r="967" ht="14.25" customHeight="1">
      <c r="A967" s="158"/>
    </row>
    <row r="968" ht="14.25" customHeight="1">
      <c r="A968" s="158"/>
    </row>
    <row r="969" ht="14.25" customHeight="1">
      <c r="A969" s="158"/>
    </row>
    <row r="970" ht="14.25" customHeight="1">
      <c r="A970" s="158"/>
    </row>
    <row r="971" ht="14.25" customHeight="1">
      <c r="A971" s="158"/>
    </row>
    <row r="972" ht="14.25" customHeight="1">
      <c r="A972" s="158"/>
    </row>
    <row r="973" ht="14.25" customHeight="1">
      <c r="A973" s="158"/>
    </row>
    <row r="974" ht="14.25" customHeight="1">
      <c r="A974" s="158"/>
    </row>
    <row r="975" ht="14.25" customHeight="1">
      <c r="A975" s="158"/>
    </row>
    <row r="976" ht="14.25" customHeight="1">
      <c r="A976" s="158"/>
    </row>
    <row r="977" ht="14.25" customHeight="1">
      <c r="A977" s="158"/>
    </row>
    <row r="978" ht="14.25" customHeight="1">
      <c r="A978" s="158"/>
    </row>
    <row r="979" ht="14.25" customHeight="1">
      <c r="A979" s="158"/>
    </row>
    <row r="980" ht="14.25" customHeight="1">
      <c r="A980" s="158"/>
    </row>
    <row r="981" ht="14.25" customHeight="1">
      <c r="A981" s="158"/>
    </row>
    <row r="982" ht="14.25" customHeight="1">
      <c r="A982" s="158"/>
    </row>
    <row r="983" ht="14.25" customHeight="1">
      <c r="A983" s="158"/>
    </row>
    <row r="984" ht="14.25" customHeight="1">
      <c r="A984" s="158"/>
    </row>
    <row r="985" ht="14.25" customHeight="1">
      <c r="A985" s="158"/>
    </row>
    <row r="986" ht="14.25" customHeight="1">
      <c r="A986" s="158"/>
    </row>
    <row r="987" ht="14.25" customHeight="1">
      <c r="A987" s="158"/>
    </row>
    <row r="988" ht="14.25" customHeight="1">
      <c r="A988" s="158"/>
    </row>
    <row r="989" ht="14.25" customHeight="1">
      <c r="A989" s="158"/>
    </row>
    <row r="990" ht="14.25" customHeight="1">
      <c r="A990" s="158"/>
    </row>
    <row r="991" ht="14.25" customHeight="1">
      <c r="A991" s="158"/>
    </row>
    <row r="992" ht="14.25" customHeight="1">
      <c r="A992" s="158"/>
    </row>
    <row r="993" ht="14.25" customHeight="1">
      <c r="A993" s="158"/>
    </row>
    <row r="994" ht="14.25" customHeight="1">
      <c r="A994" s="158"/>
    </row>
    <row r="995" ht="14.25" customHeight="1">
      <c r="A995" s="158"/>
    </row>
    <row r="996" ht="14.25" customHeight="1">
      <c r="A996" s="158"/>
    </row>
    <row r="997" ht="14.25" customHeight="1">
      <c r="A997" s="158"/>
    </row>
    <row r="998" ht="14.25" customHeight="1">
      <c r="A998" s="158"/>
    </row>
    <row r="999" ht="14.25" customHeight="1">
      <c r="A999" s="158"/>
    </row>
    <row r="1000" ht="14.25" customHeight="1">
      <c r="A1000" s="158"/>
    </row>
  </sheetData>
  <hyperlinks>
    <hyperlink r:id="rId4" ref="B4"/>
  </hyperlinks>
  <printOptions/>
  <pageMargins bottom="0.75" footer="0.0" header="0.0" left="0.7" right="0.7" top="0.75"/>
  <pageSetup paperSize="9" scale="83" orientation="portrait"/>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outlinePr summaryBelow="0" summaryRight="0"/>
    <pageSetUpPr/>
  </sheetPr>
  <sheetViews>
    <sheetView showGridLines="0"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Col="1" outlineLevelRow="1"/>
  <cols>
    <col customWidth="1" min="1" max="1" width="3.43"/>
    <col customWidth="1" min="2" max="2" width="34.14"/>
    <col customWidth="1" min="3" max="3" width="16.43"/>
    <col customWidth="1" min="4" max="4" width="10.71"/>
    <col customWidth="1" min="5" max="9" width="13.71" outlineLevel="1"/>
    <col customWidth="1" min="10" max="10" width="8.43"/>
    <col customWidth="1" min="11" max="70" width="12.29"/>
    <col customWidth="1" min="71" max="71" width="2.71"/>
  </cols>
  <sheetData>
    <row r="1" ht="15.75" hidden="1" customHeight="1" outlineLevel="1">
      <c r="A1" s="269"/>
      <c r="B1" s="270" t="s">
        <v>278</v>
      </c>
      <c r="C1" s="270"/>
      <c r="D1" s="270"/>
      <c r="E1" s="74">
        <f>'Input Assumptions'!E$18</f>
        <v>1</v>
      </c>
      <c r="F1" s="74">
        <f>'Input Assumptions'!F$18</f>
        <v>2</v>
      </c>
      <c r="G1" s="74">
        <f>'Input Assumptions'!G$18</f>
        <v>3</v>
      </c>
      <c r="H1" s="74">
        <f>'Input Assumptions'!H$18</f>
        <v>4</v>
      </c>
      <c r="I1" s="74">
        <f>'Input Assumptions'!I$18</f>
        <v>5</v>
      </c>
      <c r="J1" s="270"/>
      <c r="K1" s="74">
        <v>1.0</v>
      </c>
      <c r="L1" s="74">
        <f t="shared" ref="L1:BR1" si="1">K1+1</f>
        <v>2</v>
      </c>
      <c r="M1" s="74">
        <f t="shared" si="1"/>
        <v>3</v>
      </c>
      <c r="N1" s="74">
        <f t="shared" si="1"/>
        <v>4</v>
      </c>
      <c r="O1" s="74">
        <f t="shared" si="1"/>
        <v>5</v>
      </c>
      <c r="P1" s="74">
        <f t="shared" si="1"/>
        <v>6</v>
      </c>
      <c r="Q1" s="74">
        <f t="shared" si="1"/>
        <v>7</v>
      </c>
      <c r="R1" s="74">
        <f t="shared" si="1"/>
        <v>8</v>
      </c>
      <c r="S1" s="74">
        <f t="shared" si="1"/>
        <v>9</v>
      </c>
      <c r="T1" s="74">
        <f t="shared" si="1"/>
        <v>10</v>
      </c>
      <c r="U1" s="74">
        <f t="shared" si="1"/>
        <v>11</v>
      </c>
      <c r="V1" s="74">
        <f t="shared" si="1"/>
        <v>12</v>
      </c>
      <c r="W1" s="74">
        <f t="shared" si="1"/>
        <v>13</v>
      </c>
      <c r="X1" s="74">
        <f t="shared" si="1"/>
        <v>14</v>
      </c>
      <c r="Y1" s="74">
        <f t="shared" si="1"/>
        <v>15</v>
      </c>
      <c r="Z1" s="74">
        <f t="shared" si="1"/>
        <v>16</v>
      </c>
      <c r="AA1" s="74">
        <f t="shared" si="1"/>
        <v>17</v>
      </c>
      <c r="AB1" s="74">
        <f t="shared" si="1"/>
        <v>18</v>
      </c>
      <c r="AC1" s="74">
        <f t="shared" si="1"/>
        <v>19</v>
      </c>
      <c r="AD1" s="74">
        <f t="shared" si="1"/>
        <v>20</v>
      </c>
      <c r="AE1" s="74">
        <f t="shared" si="1"/>
        <v>21</v>
      </c>
      <c r="AF1" s="74">
        <f t="shared" si="1"/>
        <v>22</v>
      </c>
      <c r="AG1" s="74">
        <f t="shared" si="1"/>
        <v>23</v>
      </c>
      <c r="AH1" s="74">
        <f t="shared" si="1"/>
        <v>24</v>
      </c>
      <c r="AI1" s="74">
        <f t="shared" si="1"/>
        <v>25</v>
      </c>
      <c r="AJ1" s="74">
        <f t="shared" si="1"/>
        <v>26</v>
      </c>
      <c r="AK1" s="74">
        <f t="shared" si="1"/>
        <v>27</v>
      </c>
      <c r="AL1" s="74">
        <f t="shared" si="1"/>
        <v>28</v>
      </c>
      <c r="AM1" s="74">
        <f t="shared" si="1"/>
        <v>29</v>
      </c>
      <c r="AN1" s="74">
        <f t="shared" si="1"/>
        <v>30</v>
      </c>
      <c r="AO1" s="74">
        <f t="shared" si="1"/>
        <v>31</v>
      </c>
      <c r="AP1" s="74">
        <f t="shared" si="1"/>
        <v>32</v>
      </c>
      <c r="AQ1" s="74">
        <f t="shared" si="1"/>
        <v>33</v>
      </c>
      <c r="AR1" s="74">
        <f t="shared" si="1"/>
        <v>34</v>
      </c>
      <c r="AS1" s="74">
        <f t="shared" si="1"/>
        <v>35</v>
      </c>
      <c r="AT1" s="74">
        <f t="shared" si="1"/>
        <v>36</v>
      </c>
      <c r="AU1" s="74">
        <f t="shared" si="1"/>
        <v>37</v>
      </c>
      <c r="AV1" s="74">
        <f t="shared" si="1"/>
        <v>38</v>
      </c>
      <c r="AW1" s="74">
        <f t="shared" si="1"/>
        <v>39</v>
      </c>
      <c r="AX1" s="74">
        <f t="shared" si="1"/>
        <v>40</v>
      </c>
      <c r="AY1" s="74">
        <f t="shared" si="1"/>
        <v>41</v>
      </c>
      <c r="AZ1" s="74">
        <f t="shared" si="1"/>
        <v>42</v>
      </c>
      <c r="BA1" s="74">
        <f t="shared" si="1"/>
        <v>43</v>
      </c>
      <c r="BB1" s="74">
        <f t="shared" si="1"/>
        <v>44</v>
      </c>
      <c r="BC1" s="74">
        <f t="shared" si="1"/>
        <v>45</v>
      </c>
      <c r="BD1" s="74">
        <f t="shared" si="1"/>
        <v>46</v>
      </c>
      <c r="BE1" s="74">
        <f t="shared" si="1"/>
        <v>47</v>
      </c>
      <c r="BF1" s="74">
        <f t="shared" si="1"/>
        <v>48</v>
      </c>
      <c r="BG1" s="74">
        <f t="shared" si="1"/>
        <v>49</v>
      </c>
      <c r="BH1" s="74">
        <f t="shared" si="1"/>
        <v>50</v>
      </c>
      <c r="BI1" s="74">
        <f t="shared" si="1"/>
        <v>51</v>
      </c>
      <c r="BJ1" s="74">
        <f t="shared" si="1"/>
        <v>52</v>
      </c>
      <c r="BK1" s="74">
        <f t="shared" si="1"/>
        <v>53</v>
      </c>
      <c r="BL1" s="74">
        <f t="shared" si="1"/>
        <v>54</v>
      </c>
      <c r="BM1" s="74">
        <f t="shared" si="1"/>
        <v>55</v>
      </c>
      <c r="BN1" s="74">
        <f t="shared" si="1"/>
        <v>56</v>
      </c>
      <c r="BO1" s="74">
        <f t="shared" si="1"/>
        <v>57</v>
      </c>
      <c r="BP1" s="74">
        <f t="shared" si="1"/>
        <v>58</v>
      </c>
      <c r="BQ1" s="74">
        <f t="shared" si="1"/>
        <v>59</v>
      </c>
      <c r="BR1" s="74">
        <f t="shared" si="1"/>
        <v>60</v>
      </c>
      <c r="BS1" s="270"/>
    </row>
    <row r="2" ht="15.75" hidden="1" customHeight="1" outlineLevel="1">
      <c r="A2" s="269"/>
      <c r="B2" s="72" t="s">
        <v>105</v>
      </c>
      <c r="C2" s="73"/>
      <c r="D2" s="74"/>
      <c r="E2" s="270"/>
      <c r="F2" s="270"/>
      <c r="G2" s="270"/>
      <c r="H2" s="270"/>
      <c r="I2" s="270"/>
      <c r="J2" s="74"/>
      <c r="K2" s="74">
        <f>IF(K$13&lt;Fin_Year_End,1,IF(MONTH(K$13)=MONTH(Fin_Year_End)+1,MIN(J2+1,5),J2))</f>
        <v>1</v>
      </c>
      <c r="L2" s="74">
        <f>IF(L$13&lt;Fin_Year_End,1,IF(MONTH(L$13)=MONTH(Fin_Year_End)+1,MIN(K2+1,5),K2))</f>
        <v>1</v>
      </c>
      <c r="M2" s="74">
        <f>IF(M$13&lt;Fin_Year_End,1,IF(MONTH(M$13)=MONTH(Fin_Year_End)+1,MIN(L2+1,5),L2))</f>
        <v>1</v>
      </c>
      <c r="N2" s="74">
        <f>IF(N$13&lt;Fin_Year_End,1,IF(MONTH(N$13)=MONTH(Fin_Year_End)+1,MIN(M2+1,5),M2))</f>
        <v>1</v>
      </c>
      <c r="O2" s="74">
        <f>IF(O$13&lt;Fin_Year_End,1,IF(MONTH(O$13)=MONTH(Fin_Year_End)+1,MIN(N2+1,5),N2))</f>
        <v>1</v>
      </c>
      <c r="P2" s="74">
        <f>IF(P$13&lt;Fin_Year_End,1,IF(MONTH(P$13)=MONTH(Fin_Year_End)+1,MIN(O2+1,5),O2))</f>
        <v>1</v>
      </c>
      <c r="Q2" s="74">
        <f>IF(Q$13&lt;Fin_Year_End,1,IF(MONTH(Q$13)=MONTH(Fin_Year_End)+1,MIN(P2+1,5),P2))</f>
        <v>1</v>
      </c>
      <c r="R2" s="74">
        <f>IF(R$13&lt;Fin_Year_End,1,IF(MONTH(R$13)=MONTH(Fin_Year_End)+1,MIN(Q2+1,5),Q2))</f>
        <v>1</v>
      </c>
      <c r="S2" s="74">
        <f>IF(S$13&lt;Fin_Year_End,1,IF(MONTH(S$13)=MONTH(Fin_Year_End)+1,MIN(R2+1,5),R2))</f>
        <v>1</v>
      </c>
      <c r="T2" s="74">
        <f>IF(T$13&lt;Fin_Year_End,1,IF(MONTH(T$13)=MONTH(Fin_Year_End)+1,MIN(S2+1,5),S2))</f>
        <v>1</v>
      </c>
      <c r="U2" s="74">
        <f>IF(U$13&lt;Fin_Year_End,1,IF(MONTH(U$13)=MONTH(Fin_Year_End)+1,MIN(T2+1,5),T2))</f>
        <v>1</v>
      </c>
      <c r="V2" s="74">
        <f>IF(V$13&lt;Fin_Year_End,1,IF(MONTH(V$13)=MONTH(Fin_Year_End)+1,MIN(U2+1,5),U2))</f>
        <v>1</v>
      </c>
      <c r="W2" s="74">
        <f>IF(W$13&lt;Fin_Year_End,1,IF(MONTH(W$13)=MONTH(Fin_Year_End)+1,MIN(V2+1,5),V2))</f>
        <v>2</v>
      </c>
      <c r="X2" s="74">
        <f>IF(X$13&lt;Fin_Year_End,1,IF(MONTH(X$13)=MONTH(Fin_Year_End)+1,MIN(W2+1,5),W2))</f>
        <v>2</v>
      </c>
      <c r="Y2" s="74">
        <f>IF(Y$13&lt;Fin_Year_End,1,IF(MONTH(Y$13)=MONTH(Fin_Year_End)+1,MIN(X2+1,5),X2))</f>
        <v>2</v>
      </c>
      <c r="Z2" s="74">
        <f>IF(Z$13&lt;Fin_Year_End,1,IF(MONTH(Z$13)=MONTH(Fin_Year_End)+1,MIN(Y2+1,5),Y2))</f>
        <v>2</v>
      </c>
      <c r="AA2" s="74">
        <f>IF(AA$13&lt;Fin_Year_End,1,IF(MONTH(AA$13)=MONTH(Fin_Year_End)+1,MIN(Z2+1,5),Z2))</f>
        <v>2</v>
      </c>
      <c r="AB2" s="74">
        <f>IF(AB$13&lt;Fin_Year_End,1,IF(MONTH(AB$13)=MONTH(Fin_Year_End)+1,MIN(AA2+1,5),AA2))</f>
        <v>2</v>
      </c>
      <c r="AC2" s="74">
        <f>IF(AC$13&lt;Fin_Year_End,1,IF(MONTH(AC$13)=MONTH(Fin_Year_End)+1,MIN(AB2+1,5),AB2))</f>
        <v>2</v>
      </c>
      <c r="AD2" s="74">
        <f>IF(AD$13&lt;Fin_Year_End,1,IF(MONTH(AD$13)=MONTH(Fin_Year_End)+1,MIN(AC2+1,5),AC2))</f>
        <v>2</v>
      </c>
      <c r="AE2" s="74">
        <f>IF(AE$13&lt;Fin_Year_End,1,IF(MONTH(AE$13)=MONTH(Fin_Year_End)+1,MIN(AD2+1,5),AD2))</f>
        <v>2</v>
      </c>
      <c r="AF2" s="74">
        <f>IF(AF$13&lt;Fin_Year_End,1,IF(MONTH(AF$13)=MONTH(Fin_Year_End)+1,MIN(AE2+1,5),AE2))</f>
        <v>2</v>
      </c>
      <c r="AG2" s="74">
        <f>IF(AG$13&lt;Fin_Year_End,1,IF(MONTH(AG$13)=MONTH(Fin_Year_End)+1,MIN(AF2+1,5),AF2))</f>
        <v>2</v>
      </c>
      <c r="AH2" s="74">
        <f>IF(AH$13&lt;Fin_Year_End,1,IF(MONTH(AH$13)=MONTH(Fin_Year_End)+1,MIN(AG2+1,5),AG2))</f>
        <v>2</v>
      </c>
      <c r="AI2" s="74">
        <f>IF(AI$13&lt;Fin_Year_End,1,IF(MONTH(AI$13)=MONTH(Fin_Year_End)+1,MIN(AH2+1,5),AH2))</f>
        <v>3</v>
      </c>
      <c r="AJ2" s="74">
        <f>IF(AJ$13&lt;Fin_Year_End,1,IF(MONTH(AJ$13)=MONTH(Fin_Year_End)+1,MIN(AI2+1,5),AI2))</f>
        <v>3</v>
      </c>
      <c r="AK2" s="74">
        <f>IF(AK$13&lt;Fin_Year_End,1,IF(MONTH(AK$13)=MONTH(Fin_Year_End)+1,MIN(AJ2+1,5),AJ2))</f>
        <v>3</v>
      </c>
      <c r="AL2" s="74">
        <f>IF(AL$13&lt;Fin_Year_End,1,IF(MONTH(AL$13)=MONTH(Fin_Year_End)+1,MIN(AK2+1,5),AK2))</f>
        <v>3</v>
      </c>
      <c r="AM2" s="74">
        <f>IF(AM$13&lt;Fin_Year_End,1,IF(MONTH(AM$13)=MONTH(Fin_Year_End)+1,MIN(AL2+1,5),AL2))</f>
        <v>3</v>
      </c>
      <c r="AN2" s="74">
        <f>IF(AN$13&lt;Fin_Year_End,1,IF(MONTH(AN$13)=MONTH(Fin_Year_End)+1,MIN(AM2+1,5),AM2))</f>
        <v>3</v>
      </c>
      <c r="AO2" s="74">
        <f>IF(AO$13&lt;Fin_Year_End,1,IF(MONTH(AO$13)=MONTH(Fin_Year_End)+1,MIN(AN2+1,5),AN2))</f>
        <v>3</v>
      </c>
      <c r="AP2" s="74">
        <f>IF(AP$13&lt;Fin_Year_End,1,IF(MONTH(AP$13)=MONTH(Fin_Year_End)+1,MIN(AO2+1,5),AO2))</f>
        <v>3</v>
      </c>
      <c r="AQ2" s="74">
        <f>IF(AQ$13&lt;Fin_Year_End,1,IF(MONTH(AQ$13)=MONTH(Fin_Year_End)+1,MIN(AP2+1,5),AP2))</f>
        <v>3</v>
      </c>
      <c r="AR2" s="74">
        <f>IF(AR$13&lt;Fin_Year_End,1,IF(MONTH(AR$13)=MONTH(Fin_Year_End)+1,MIN(AQ2+1,5),AQ2))</f>
        <v>3</v>
      </c>
      <c r="AS2" s="74">
        <f>IF(AS$13&lt;Fin_Year_End,1,IF(MONTH(AS$13)=MONTH(Fin_Year_End)+1,MIN(AR2+1,5),AR2))</f>
        <v>3</v>
      </c>
      <c r="AT2" s="74">
        <f>IF(AT$13&lt;Fin_Year_End,1,IF(MONTH(AT$13)=MONTH(Fin_Year_End)+1,MIN(AS2+1,5),AS2))</f>
        <v>3</v>
      </c>
      <c r="AU2" s="74">
        <f>IF(AU$13&lt;Fin_Year_End,1,IF(MONTH(AU$13)=MONTH(Fin_Year_End)+1,MIN(AT2+1,5),AT2))</f>
        <v>4</v>
      </c>
      <c r="AV2" s="74">
        <f>IF(AV$13&lt;Fin_Year_End,1,IF(MONTH(AV$13)=MONTH(Fin_Year_End)+1,MIN(AU2+1,5),AU2))</f>
        <v>4</v>
      </c>
      <c r="AW2" s="74">
        <f>IF(AW$13&lt;Fin_Year_End,1,IF(MONTH(AW$13)=MONTH(Fin_Year_End)+1,MIN(AV2+1,5),AV2))</f>
        <v>4</v>
      </c>
      <c r="AX2" s="74">
        <f>IF(AX$13&lt;Fin_Year_End,1,IF(MONTH(AX$13)=MONTH(Fin_Year_End)+1,MIN(AW2+1,5),AW2))</f>
        <v>4</v>
      </c>
      <c r="AY2" s="74">
        <f>IF(AY$13&lt;Fin_Year_End,1,IF(MONTH(AY$13)=MONTH(Fin_Year_End)+1,MIN(AX2+1,5),AX2))</f>
        <v>4</v>
      </c>
      <c r="AZ2" s="74">
        <f>IF(AZ$13&lt;Fin_Year_End,1,IF(MONTH(AZ$13)=MONTH(Fin_Year_End)+1,MIN(AY2+1,5),AY2))</f>
        <v>4</v>
      </c>
      <c r="BA2" s="74">
        <f>IF(BA$13&lt;Fin_Year_End,1,IF(MONTH(BA$13)=MONTH(Fin_Year_End)+1,MIN(AZ2+1,5),AZ2))</f>
        <v>4</v>
      </c>
      <c r="BB2" s="74">
        <f>IF(BB$13&lt;Fin_Year_End,1,IF(MONTH(BB$13)=MONTH(Fin_Year_End)+1,MIN(BA2+1,5),BA2))</f>
        <v>4</v>
      </c>
      <c r="BC2" s="74">
        <f>IF(BC$13&lt;Fin_Year_End,1,IF(MONTH(BC$13)=MONTH(Fin_Year_End)+1,MIN(BB2+1,5),BB2))</f>
        <v>4</v>
      </c>
      <c r="BD2" s="74">
        <f>IF(BD$13&lt;Fin_Year_End,1,IF(MONTH(BD$13)=MONTH(Fin_Year_End)+1,MIN(BC2+1,5),BC2))</f>
        <v>4</v>
      </c>
      <c r="BE2" s="74">
        <f>IF(BE$13&lt;Fin_Year_End,1,IF(MONTH(BE$13)=MONTH(Fin_Year_End)+1,MIN(BD2+1,5),BD2))</f>
        <v>4</v>
      </c>
      <c r="BF2" s="74">
        <f>IF(BF$13&lt;Fin_Year_End,1,IF(MONTH(BF$13)=MONTH(Fin_Year_End)+1,MIN(BE2+1,5),BE2))</f>
        <v>4</v>
      </c>
      <c r="BG2" s="74">
        <f>IF(BG$13&lt;Fin_Year_End,1,IF(MONTH(BG$13)=MONTH(Fin_Year_End)+1,MIN(BF2+1,5),BF2))</f>
        <v>5</v>
      </c>
      <c r="BH2" s="74">
        <f>IF(BH$13&lt;Fin_Year_End,1,IF(MONTH(BH$13)=MONTH(Fin_Year_End)+1,MIN(BG2+1,5),BG2))</f>
        <v>5</v>
      </c>
      <c r="BI2" s="74">
        <f>IF(BI$13&lt;Fin_Year_End,1,IF(MONTH(BI$13)=MONTH(Fin_Year_End)+1,MIN(BH2+1,5),BH2))</f>
        <v>5</v>
      </c>
      <c r="BJ2" s="74">
        <f>IF(BJ$13&lt;Fin_Year_End,1,IF(MONTH(BJ$13)=MONTH(Fin_Year_End)+1,MIN(BI2+1,5),BI2))</f>
        <v>5</v>
      </c>
      <c r="BK2" s="74">
        <f>IF(BK$13&lt;Fin_Year_End,1,IF(MONTH(BK$13)=MONTH(Fin_Year_End)+1,MIN(BJ2+1,5),BJ2))</f>
        <v>5</v>
      </c>
      <c r="BL2" s="74">
        <f>IF(BL$13&lt;Fin_Year_End,1,IF(MONTH(BL$13)=MONTH(Fin_Year_End)+1,MIN(BK2+1,5),BK2))</f>
        <v>5</v>
      </c>
      <c r="BM2" s="74">
        <f>IF(BM$13&lt;Fin_Year_End,1,IF(MONTH(BM$13)=MONTH(Fin_Year_End)+1,MIN(BL2+1,5),BL2))</f>
        <v>5</v>
      </c>
      <c r="BN2" s="74">
        <f>IF(BN$13&lt;Fin_Year_End,1,IF(MONTH(BN$13)=MONTH(Fin_Year_End)+1,MIN(BM2+1,5),BM2))</f>
        <v>5</v>
      </c>
      <c r="BO2" s="74">
        <f>IF(BO$13&lt;Fin_Year_End,1,IF(MONTH(BO$13)=MONTH(Fin_Year_End)+1,MIN(BN2+1,5),BN2))</f>
        <v>5</v>
      </c>
      <c r="BP2" s="74">
        <f>IF(BP$13&lt;Fin_Year_End,1,IF(MONTH(BP$13)=MONTH(Fin_Year_End)+1,MIN(BO2+1,5),BO2))</f>
        <v>5</v>
      </c>
      <c r="BQ2" s="74">
        <f>IF(BQ$13&lt;Fin_Year_End,1,IF(MONTH(BQ$13)=MONTH(Fin_Year_End)+1,MIN(BP2+1,5),BP2))</f>
        <v>5</v>
      </c>
      <c r="BR2" s="74">
        <f>IF(BR$13&lt;Fin_Year_End,1,IF(MONTH(BR$13)=MONTH(Fin_Year_End)+1,MIN(BQ2+1,5),BQ2))</f>
        <v>5</v>
      </c>
      <c r="BS2" s="74"/>
    </row>
    <row r="3" ht="15.75" hidden="1" customHeight="1" outlineLevel="1">
      <c r="A3" s="269"/>
      <c r="B3" s="72" t="s">
        <v>279</v>
      </c>
      <c r="C3" s="73"/>
      <c r="D3" s="74"/>
      <c r="E3" s="74"/>
      <c r="F3" s="74"/>
      <c r="G3" s="74"/>
      <c r="H3" s="74"/>
      <c r="I3" s="74"/>
      <c r="J3" s="74">
        <f>AUV_Reached</f>
        <v>18</v>
      </c>
      <c r="K3" s="74">
        <f t="shared" ref="K3:BR3" si="2">MAX(0,J$3-1)</f>
        <v>17</v>
      </c>
      <c r="L3" s="74">
        <f t="shared" si="2"/>
        <v>16</v>
      </c>
      <c r="M3" s="74">
        <f t="shared" si="2"/>
        <v>15</v>
      </c>
      <c r="N3" s="74">
        <f t="shared" si="2"/>
        <v>14</v>
      </c>
      <c r="O3" s="74">
        <f t="shared" si="2"/>
        <v>13</v>
      </c>
      <c r="P3" s="74">
        <f t="shared" si="2"/>
        <v>12</v>
      </c>
      <c r="Q3" s="74">
        <f t="shared" si="2"/>
        <v>11</v>
      </c>
      <c r="R3" s="74">
        <f t="shared" si="2"/>
        <v>10</v>
      </c>
      <c r="S3" s="74">
        <f t="shared" si="2"/>
        <v>9</v>
      </c>
      <c r="T3" s="74">
        <f t="shared" si="2"/>
        <v>8</v>
      </c>
      <c r="U3" s="74">
        <f t="shared" si="2"/>
        <v>7</v>
      </c>
      <c r="V3" s="74">
        <f t="shared" si="2"/>
        <v>6</v>
      </c>
      <c r="W3" s="74">
        <f t="shared" si="2"/>
        <v>5</v>
      </c>
      <c r="X3" s="74">
        <f t="shared" si="2"/>
        <v>4</v>
      </c>
      <c r="Y3" s="74">
        <f t="shared" si="2"/>
        <v>3</v>
      </c>
      <c r="Z3" s="74">
        <f t="shared" si="2"/>
        <v>2</v>
      </c>
      <c r="AA3" s="74">
        <f t="shared" si="2"/>
        <v>1</v>
      </c>
      <c r="AB3" s="74">
        <f t="shared" si="2"/>
        <v>0</v>
      </c>
      <c r="AC3" s="74">
        <f t="shared" si="2"/>
        <v>0</v>
      </c>
      <c r="AD3" s="74">
        <f t="shared" si="2"/>
        <v>0</v>
      </c>
      <c r="AE3" s="74">
        <f t="shared" si="2"/>
        <v>0</v>
      </c>
      <c r="AF3" s="74">
        <f t="shared" si="2"/>
        <v>0</v>
      </c>
      <c r="AG3" s="74">
        <f t="shared" si="2"/>
        <v>0</v>
      </c>
      <c r="AH3" s="74">
        <f t="shared" si="2"/>
        <v>0</v>
      </c>
      <c r="AI3" s="74">
        <f t="shared" si="2"/>
        <v>0</v>
      </c>
      <c r="AJ3" s="74">
        <f t="shared" si="2"/>
        <v>0</v>
      </c>
      <c r="AK3" s="74">
        <f t="shared" si="2"/>
        <v>0</v>
      </c>
      <c r="AL3" s="74">
        <f t="shared" si="2"/>
        <v>0</v>
      </c>
      <c r="AM3" s="74">
        <f t="shared" si="2"/>
        <v>0</v>
      </c>
      <c r="AN3" s="74">
        <f t="shared" si="2"/>
        <v>0</v>
      </c>
      <c r="AO3" s="74">
        <f t="shared" si="2"/>
        <v>0</v>
      </c>
      <c r="AP3" s="74">
        <f t="shared" si="2"/>
        <v>0</v>
      </c>
      <c r="AQ3" s="74">
        <f t="shared" si="2"/>
        <v>0</v>
      </c>
      <c r="AR3" s="74">
        <f t="shared" si="2"/>
        <v>0</v>
      </c>
      <c r="AS3" s="74">
        <f t="shared" si="2"/>
        <v>0</v>
      </c>
      <c r="AT3" s="74">
        <f t="shared" si="2"/>
        <v>0</v>
      </c>
      <c r="AU3" s="74">
        <f t="shared" si="2"/>
        <v>0</v>
      </c>
      <c r="AV3" s="74">
        <f t="shared" si="2"/>
        <v>0</v>
      </c>
      <c r="AW3" s="74">
        <f t="shared" si="2"/>
        <v>0</v>
      </c>
      <c r="AX3" s="74">
        <f t="shared" si="2"/>
        <v>0</v>
      </c>
      <c r="AY3" s="74">
        <f t="shared" si="2"/>
        <v>0</v>
      </c>
      <c r="AZ3" s="74">
        <f t="shared" si="2"/>
        <v>0</v>
      </c>
      <c r="BA3" s="74">
        <f t="shared" si="2"/>
        <v>0</v>
      </c>
      <c r="BB3" s="74">
        <f t="shared" si="2"/>
        <v>0</v>
      </c>
      <c r="BC3" s="74">
        <f t="shared" si="2"/>
        <v>0</v>
      </c>
      <c r="BD3" s="74">
        <f t="shared" si="2"/>
        <v>0</v>
      </c>
      <c r="BE3" s="74">
        <f t="shared" si="2"/>
        <v>0</v>
      </c>
      <c r="BF3" s="74">
        <f t="shared" si="2"/>
        <v>0</v>
      </c>
      <c r="BG3" s="74">
        <f t="shared" si="2"/>
        <v>0</v>
      </c>
      <c r="BH3" s="74">
        <f t="shared" si="2"/>
        <v>0</v>
      </c>
      <c r="BI3" s="74">
        <f t="shared" si="2"/>
        <v>0</v>
      </c>
      <c r="BJ3" s="74">
        <f t="shared" si="2"/>
        <v>0</v>
      </c>
      <c r="BK3" s="74">
        <f t="shared" si="2"/>
        <v>0</v>
      </c>
      <c r="BL3" s="74">
        <f t="shared" si="2"/>
        <v>0</v>
      </c>
      <c r="BM3" s="74">
        <f t="shared" si="2"/>
        <v>0</v>
      </c>
      <c r="BN3" s="74">
        <f t="shared" si="2"/>
        <v>0</v>
      </c>
      <c r="BO3" s="74">
        <f t="shared" si="2"/>
        <v>0</v>
      </c>
      <c r="BP3" s="74">
        <f t="shared" si="2"/>
        <v>0</v>
      </c>
      <c r="BQ3" s="74">
        <f t="shared" si="2"/>
        <v>0</v>
      </c>
      <c r="BR3" s="74">
        <f t="shared" si="2"/>
        <v>0</v>
      </c>
      <c r="BS3" s="74"/>
    </row>
    <row r="4" ht="15.75" hidden="1" customHeight="1" outlineLevel="1">
      <c r="A4" s="80"/>
      <c r="B4" s="92" t="s">
        <v>279</v>
      </c>
      <c r="C4" s="81"/>
      <c r="D4" s="82"/>
      <c r="E4" s="82"/>
      <c r="F4" s="82"/>
      <c r="G4" s="82"/>
      <c r="H4" s="82"/>
      <c r="I4" s="82"/>
      <c r="J4" s="271">
        <f>AUV_Start</f>
        <v>0.3</v>
      </c>
      <c r="K4" s="271">
        <f>IFERROR(IF(AND(COLUMN()=11,$J$4&lt;&gt;0),$J4,IF($J$4&lt;&gt;0,$J$4+(((1-$J$4)*(AUV_Reached-K$3))/AUV_Reached),(AUV_Reached-K$3)/AUV_Reached)),0)</f>
        <v>0.3</v>
      </c>
      <c r="L4" s="271">
        <f>IFERROR(IF(AND(COLUMN()=11,$J$4&lt;&gt;0),$J4,IF($J$4&lt;&gt;0,$J$4+(((1-$J$4)*(AUV_Reached-L$3))/AUV_Reached),(AUV_Reached-L$3)/AUV_Reached)),0)</f>
        <v>0.3777777778</v>
      </c>
      <c r="M4" s="271">
        <f>IFERROR(IF(AND(COLUMN()=11,$J$4&lt;&gt;0),$J4,IF($J$4&lt;&gt;0,$J$4+(((1-$J$4)*(AUV_Reached-M$3))/AUV_Reached),(AUV_Reached-M$3)/AUV_Reached)),0)</f>
        <v>0.4166666667</v>
      </c>
      <c r="N4" s="271">
        <f>IFERROR(IF(AND(COLUMN()=11,$J$4&lt;&gt;0),$J4,IF($J$4&lt;&gt;0,$J$4+(((1-$J$4)*(AUV_Reached-N$3))/AUV_Reached),(AUV_Reached-N$3)/AUV_Reached)),0)</f>
        <v>0.4555555556</v>
      </c>
      <c r="O4" s="271">
        <f>IFERROR(IF(AND(COLUMN()=11,$J$4&lt;&gt;0),$J4,IF($J$4&lt;&gt;0,$J$4+(((1-$J$4)*(AUV_Reached-O$3))/AUV_Reached),(AUV_Reached-O$3)/AUV_Reached)),0)</f>
        <v>0.4944444444</v>
      </c>
      <c r="P4" s="271">
        <f>IFERROR(IF(AND(COLUMN()=11,$J$4&lt;&gt;0),$J4,IF($J$4&lt;&gt;0,$J$4+(((1-$J$4)*(AUV_Reached-P$3))/AUV_Reached),(AUV_Reached-P$3)/AUV_Reached)),0)</f>
        <v>0.5333333333</v>
      </c>
      <c r="Q4" s="271">
        <f>IFERROR(IF(AND(COLUMN()=11,$J$4&lt;&gt;0),$J4,IF($J$4&lt;&gt;0,$J$4+(((1-$J$4)*(AUV_Reached-Q$3))/AUV_Reached),(AUV_Reached-Q$3)/AUV_Reached)),0)</f>
        <v>0.5722222222</v>
      </c>
      <c r="R4" s="271">
        <f>IFERROR(IF(AND(COLUMN()=11,$J$4&lt;&gt;0),$J4,IF($J$4&lt;&gt;0,$J$4+(((1-$J$4)*(AUV_Reached-R$3))/AUV_Reached),(AUV_Reached-R$3)/AUV_Reached)),0)</f>
        <v>0.6111111111</v>
      </c>
      <c r="S4" s="271">
        <f>IFERROR(IF(AND(COLUMN()=11,$J$4&lt;&gt;0),$J4,IF($J$4&lt;&gt;0,$J$4+(((1-$J$4)*(AUV_Reached-S$3))/AUV_Reached),(AUV_Reached-S$3)/AUV_Reached)),0)</f>
        <v>0.65</v>
      </c>
      <c r="T4" s="271">
        <f>IFERROR(IF(AND(COLUMN()=11,$J$4&lt;&gt;0),$J4,IF($J$4&lt;&gt;0,$J$4+(((1-$J$4)*(AUV_Reached-T$3))/AUV_Reached),(AUV_Reached-T$3)/AUV_Reached)),0)</f>
        <v>0.6888888889</v>
      </c>
      <c r="U4" s="271">
        <f>IFERROR(IF(AND(COLUMN()=11,$J$4&lt;&gt;0),$J4,IF($J$4&lt;&gt;0,$J$4+(((1-$J$4)*(AUV_Reached-U$3))/AUV_Reached),(AUV_Reached-U$3)/AUV_Reached)),0)</f>
        <v>0.7277777778</v>
      </c>
      <c r="V4" s="271">
        <f>IFERROR(IF(AND(COLUMN()=11,$J$4&lt;&gt;0),$J4,IF($J$4&lt;&gt;0,$J$4+(((1-$J$4)*(AUV_Reached-V$3))/AUV_Reached),(AUV_Reached-V$3)/AUV_Reached)),0)</f>
        <v>0.7666666667</v>
      </c>
      <c r="W4" s="271">
        <f>IFERROR(IF(AND(COLUMN()=11,$J$4&lt;&gt;0),$J4,IF($J$4&lt;&gt;0,$J$4+(((1-$J$4)*(AUV_Reached-W$3))/AUV_Reached),(AUV_Reached-W$3)/AUV_Reached)),0)</f>
        <v>0.8055555556</v>
      </c>
      <c r="X4" s="271">
        <f>IFERROR(IF(AND(COLUMN()=11,$J$4&lt;&gt;0),$J4,IF($J$4&lt;&gt;0,$J$4+(((1-$J$4)*(AUV_Reached-X$3))/AUV_Reached),(AUV_Reached-X$3)/AUV_Reached)),0)</f>
        <v>0.8444444444</v>
      </c>
      <c r="Y4" s="271">
        <f>IFERROR(IF(AND(COLUMN()=11,$J$4&lt;&gt;0),$J4,IF($J$4&lt;&gt;0,$J$4+(((1-$J$4)*(AUV_Reached-Y$3))/AUV_Reached),(AUV_Reached-Y$3)/AUV_Reached)),0)</f>
        <v>0.8833333333</v>
      </c>
      <c r="Z4" s="271">
        <f>IFERROR(IF(AND(COLUMN()=11,$J$4&lt;&gt;0),$J4,IF($J$4&lt;&gt;0,$J$4+(((1-$J$4)*(AUV_Reached-Z$3))/AUV_Reached),(AUV_Reached-Z$3)/AUV_Reached)),0)</f>
        <v>0.9222222222</v>
      </c>
      <c r="AA4" s="271">
        <f>IFERROR(IF(AND(COLUMN()=11,$J$4&lt;&gt;0),$J4,IF($J$4&lt;&gt;0,$J$4+(((1-$J$4)*(AUV_Reached-AA$3))/AUV_Reached),(AUV_Reached-AA$3)/AUV_Reached)),0)</f>
        <v>0.9611111111</v>
      </c>
      <c r="AB4" s="271">
        <f>IFERROR(IF(AND(COLUMN()=11,$J$4&lt;&gt;0),$J4,IF($J$4&lt;&gt;0,$J$4+(((1-$J$4)*(AUV_Reached-AB$3))/AUV_Reached),(AUV_Reached-AB$3)/AUV_Reached)),0)</f>
        <v>1</v>
      </c>
      <c r="AC4" s="271">
        <f>IFERROR(IF(AND(COLUMN()=11,$J$4&lt;&gt;0),$J4,IF($J$4&lt;&gt;0,$J$4+(((1-$J$4)*(AUV_Reached-AC$3))/AUV_Reached),(AUV_Reached-AC$3)/AUV_Reached)),0)</f>
        <v>1</v>
      </c>
      <c r="AD4" s="271">
        <f>IFERROR(IF(AND(COLUMN()=11,$J$4&lt;&gt;0),$J4,IF($J$4&lt;&gt;0,$J$4+(((1-$J$4)*(AUV_Reached-AD$3))/AUV_Reached),(AUV_Reached-AD$3)/AUV_Reached)),0)</f>
        <v>1</v>
      </c>
      <c r="AE4" s="271">
        <f>IFERROR(IF(AND(COLUMN()=11,$J$4&lt;&gt;0),$J4,IF($J$4&lt;&gt;0,$J$4+(((1-$J$4)*(AUV_Reached-AE$3))/AUV_Reached),(AUV_Reached-AE$3)/AUV_Reached)),0)</f>
        <v>1</v>
      </c>
      <c r="AF4" s="271">
        <f>IFERROR(IF(AND(COLUMN()=11,$J$4&lt;&gt;0),$J4,IF($J$4&lt;&gt;0,$J$4+(((1-$J$4)*(AUV_Reached-AF$3))/AUV_Reached),(AUV_Reached-AF$3)/AUV_Reached)),0)</f>
        <v>1</v>
      </c>
      <c r="AG4" s="271">
        <f>IFERROR(IF(AND(COLUMN()=11,$J$4&lt;&gt;0),$J4,IF($J$4&lt;&gt;0,$J$4+(((1-$J$4)*(AUV_Reached-AG$3))/AUV_Reached),(AUV_Reached-AG$3)/AUV_Reached)),0)</f>
        <v>1</v>
      </c>
      <c r="AH4" s="271">
        <f>IFERROR(IF(AND(COLUMN()=11,$J$4&lt;&gt;0),$J4,IF($J$4&lt;&gt;0,$J$4+(((1-$J$4)*(AUV_Reached-AH$3))/AUV_Reached),(AUV_Reached-AH$3)/AUV_Reached)),0)</f>
        <v>1</v>
      </c>
      <c r="AI4" s="271">
        <f>IFERROR(IF(AND(COLUMN()=11,$J$4&lt;&gt;0),$J4,IF($J$4&lt;&gt;0,$J$4+(((1-$J$4)*(AUV_Reached-AI$3))/AUV_Reached),(AUV_Reached-AI$3)/AUV_Reached)),0)</f>
        <v>1</v>
      </c>
      <c r="AJ4" s="271">
        <f>IFERROR(IF(AND(COLUMN()=11,$J$4&lt;&gt;0),$J4,IF($J$4&lt;&gt;0,$J$4+(((1-$J$4)*(AUV_Reached-AJ$3))/AUV_Reached),(AUV_Reached-AJ$3)/AUV_Reached)),0)</f>
        <v>1</v>
      </c>
      <c r="AK4" s="271">
        <f>IFERROR(IF(AND(COLUMN()=11,$J$4&lt;&gt;0),$J4,IF($J$4&lt;&gt;0,$J$4+(((1-$J$4)*(AUV_Reached-AK$3))/AUV_Reached),(AUV_Reached-AK$3)/AUV_Reached)),0)</f>
        <v>1</v>
      </c>
      <c r="AL4" s="271">
        <f>IFERROR(IF(AND(COLUMN()=11,$J$4&lt;&gt;0),$J4,IF($J$4&lt;&gt;0,$J$4+(((1-$J$4)*(AUV_Reached-AL$3))/AUV_Reached),(AUV_Reached-AL$3)/AUV_Reached)),0)</f>
        <v>1</v>
      </c>
      <c r="AM4" s="271">
        <f>IFERROR(IF(AND(COLUMN()=11,$J$4&lt;&gt;0),$J4,IF($J$4&lt;&gt;0,$J$4+(((1-$J$4)*(AUV_Reached-AM$3))/AUV_Reached),(AUV_Reached-AM$3)/AUV_Reached)),0)</f>
        <v>1</v>
      </c>
      <c r="AN4" s="271">
        <f>IFERROR(IF(AND(COLUMN()=11,$J$4&lt;&gt;0),$J4,IF($J$4&lt;&gt;0,$J$4+(((1-$J$4)*(AUV_Reached-AN$3))/AUV_Reached),(AUV_Reached-AN$3)/AUV_Reached)),0)</f>
        <v>1</v>
      </c>
      <c r="AO4" s="271">
        <f>IFERROR(IF(AND(COLUMN()=11,$J$4&lt;&gt;0),$J4,IF($J$4&lt;&gt;0,$J$4+(((1-$J$4)*(AUV_Reached-AO$3))/AUV_Reached),(AUV_Reached-AO$3)/AUV_Reached)),0)</f>
        <v>1</v>
      </c>
      <c r="AP4" s="271">
        <f>IFERROR(IF(AND(COLUMN()=11,$J$4&lt;&gt;0),$J4,IF($J$4&lt;&gt;0,$J$4+(((1-$J$4)*(AUV_Reached-AP$3))/AUV_Reached),(AUV_Reached-AP$3)/AUV_Reached)),0)</f>
        <v>1</v>
      </c>
      <c r="AQ4" s="271">
        <f>IFERROR(IF(AND(COLUMN()=11,$J$4&lt;&gt;0),$J4,IF($J$4&lt;&gt;0,$J$4+(((1-$J$4)*(AUV_Reached-AQ$3))/AUV_Reached),(AUV_Reached-AQ$3)/AUV_Reached)),0)</f>
        <v>1</v>
      </c>
      <c r="AR4" s="271">
        <f>IFERROR(IF(AND(COLUMN()=11,$J$4&lt;&gt;0),$J4,IF($J$4&lt;&gt;0,$J$4+(((1-$J$4)*(AUV_Reached-AR$3))/AUV_Reached),(AUV_Reached-AR$3)/AUV_Reached)),0)</f>
        <v>1</v>
      </c>
      <c r="AS4" s="271">
        <f>IFERROR(IF(AND(COLUMN()=11,$J$4&lt;&gt;0),$J4,IF($J$4&lt;&gt;0,$J$4+(((1-$J$4)*(AUV_Reached-AS$3))/AUV_Reached),(AUV_Reached-AS$3)/AUV_Reached)),0)</f>
        <v>1</v>
      </c>
      <c r="AT4" s="271">
        <f>IFERROR(IF(AND(COLUMN()=11,$J$4&lt;&gt;0),$J4,IF($J$4&lt;&gt;0,$J$4+(((1-$J$4)*(AUV_Reached-AT$3))/AUV_Reached),(AUV_Reached-AT$3)/AUV_Reached)),0)</f>
        <v>1</v>
      </c>
      <c r="AU4" s="271">
        <f>IFERROR(IF(AND(COLUMN()=11,$J$4&lt;&gt;0),$J4,IF($J$4&lt;&gt;0,$J$4+(((1-$J$4)*(AUV_Reached-AU$3))/AUV_Reached),(AUV_Reached-AU$3)/AUV_Reached)),0)</f>
        <v>1</v>
      </c>
      <c r="AV4" s="271">
        <f>IFERROR(IF(AND(COLUMN()=11,$J$4&lt;&gt;0),$J4,IF($J$4&lt;&gt;0,$J$4+(((1-$J$4)*(AUV_Reached-AV$3))/AUV_Reached),(AUV_Reached-AV$3)/AUV_Reached)),0)</f>
        <v>1</v>
      </c>
      <c r="AW4" s="271">
        <f>IFERROR(IF(AND(COLUMN()=11,$J$4&lt;&gt;0),$J4,IF($J$4&lt;&gt;0,$J$4+(((1-$J$4)*(AUV_Reached-AW$3))/AUV_Reached),(AUV_Reached-AW$3)/AUV_Reached)),0)</f>
        <v>1</v>
      </c>
      <c r="AX4" s="271">
        <f>IFERROR(IF(AND(COLUMN()=11,$J$4&lt;&gt;0),$J4,IF($J$4&lt;&gt;0,$J$4+(((1-$J$4)*(AUV_Reached-AX$3))/AUV_Reached),(AUV_Reached-AX$3)/AUV_Reached)),0)</f>
        <v>1</v>
      </c>
      <c r="AY4" s="271">
        <f>IFERROR(IF(AND(COLUMN()=11,$J$4&lt;&gt;0),$J4,IF($J$4&lt;&gt;0,$J$4+(((1-$J$4)*(AUV_Reached-AY$3))/AUV_Reached),(AUV_Reached-AY$3)/AUV_Reached)),0)</f>
        <v>1</v>
      </c>
      <c r="AZ4" s="271">
        <f>IFERROR(IF(AND(COLUMN()=11,$J$4&lt;&gt;0),$J4,IF($J$4&lt;&gt;0,$J$4+(((1-$J$4)*(AUV_Reached-AZ$3))/AUV_Reached),(AUV_Reached-AZ$3)/AUV_Reached)),0)</f>
        <v>1</v>
      </c>
      <c r="BA4" s="271">
        <f>IFERROR(IF(AND(COLUMN()=11,$J$4&lt;&gt;0),$J4,IF($J$4&lt;&gt;0,$J$4+(((1-$J$4)*(AUV_Reached-BA$3))/AUV_Reached),(AUV_Reached-BA$3)/AUV_Reached)),0)</f>
        <v>1</v>
      </c>
      <c r="BB4" s="271">
        <f>IFERROR(IF(AND(COLUMN()=11,$J$4&lt;&gt;0),$J4,IF($J$4&lt;&gt;0,$J$4+(((1-$J$4)*(AUV_Reached-BB$3))/AUV_Reached),(AUV_Reached-BB$3)/AUV_Reached)),0)</f>
        <v>1</v>
      </c>
      <c r="BC4" s="271">
        <f>IFERROR(IF(AND(COLUMN()=11,$J$4&lt;&gt;0),$J4,IF($J$4&lt;&gt;0,$J$4+(((1-$J$4)*(AUV_Reached-BC$3))/AUV_Reached),(AUV_Reached-BC$3)/AUV_Reached)),0)</f>
        <v>1</v>
      </c>
      <c r="BD4" s="271">
        <f>IFERROR(IF(AND(COLUMN()=11,$J$4&lt;&gt;0),$J4,IF($J$4&lt;&gt;0,$J$4+(((1-$J$4)*(AUV_Reached-BD$3))/AUV_Reached),(AUV_Reached-BD$3)/AUV_Reached)),0)</f>
        <v>1</v>
      </c>
      <c r="BE4" s="271">
        <f>IFERROR(IF(AND(COLUMN()=11,$J$4&lt;&gt;0),$J4,IF($J$4&lt;&gt;0,$J$4+(((1-$J$4)*(AUV_Reached-BE$3))/AUV_Reached),(AUV_Reached-BE$3)/AUV_Reached)),0)</f>
        <v>1</v>
      </c>
      <c r="BF4" s="271">
        <f>IFERROR(IF(AND(COLUMN()=11,$J$4&lt;&gt;0),$J4,IF($J$4&lt;&gt;0,$J$4+(((1-$J$4)*(AUV_Reached-BF$3))/AUV_Reached),(AUV_Reached-BF$3)/AUV_Reached)),0)</f>
        <v>1</v>
      </c>
      <c r="BG4" s="271">
        <f>IFERROR(IF(AND(COLUMN()=11,$J$4&lt;&gt;0),$J4,IF($J$4&lt;&gt;0,$J$4+(((1-$J$4)*(AUV_Reached-BG$3))/AUV_Reached),(AUV_Reached-BG$3)/AUV_Reached)),0)</f>
        <v>1</v>
      </c>
      <c r="BH4" s="271">
        <f>IFERROR(IF(AND(COLUMN()=11,$J$4&lt;&gt;0),$J4,IF($J$4&lt;&gt;0,$J$4+(((1-$J$4)*(AUV_Reached-BH$3))/AUV_Reached),(AUV_Reached-BH$3)/AUV_Reached)),0)</f>
        <v>1</v>
      </c>
      <c r="BI4" s="271">
        <f>IFERROR(IF(AND(COLUMN()=11,$J$4&lt;&gt;0),$J4,IF($J$4&lt;&gt;0,$J$4+(((1-$J$4)*(AUV_Reached-BI$3))/AUV_Reached),(AUV_Reached-BI$3)/AUV_Reached)),0)</f>
        <v>1</v>
      </c>
      <c r="BJ4" s="271">
        <f>IFERROR(IF(AND(COLUMN()=11,$J$4&lt;&gt;0),$J4,IF($J$4&lt;&gt;0,$J$4+(((1-$J$4)*(AUV_Reached-BJ$3))/AUV_Reached),(AUV_Reached-BJ$3)/AUV_Reached)),0)</f>
        <v>1</v>
      </c>
      <c r="BK4" s="271">
        <f>IFERROR(IF(AND(COLUMN()=11,$J$4&lt;&gt;0),$J4,IF($J$4&lt;&gt;0,$J$4+(((1-$J$4)*(AUV_Reached-BK$3))/AUV_Reached),(AUV_Reached-BK$3)/AUV_Reached)),0)</f>
        <v>1</v>
      </c>
      <c r="BL4" s="271">
        <f>IFERROR(IF(AND(COLUMN()=11,$J$4&lt;&gt;0),$J4,IF($J$4&lt;&gt;0,$J$4+(((1-$J$4)*(AUV_Reached-BL$3))/AUV_Reached),(AUV_Reached-BL$3)/AUV_Reached)),0)</f>
        <v>1</v>
      </c>
      <c r="BM4" s="271">
        <f>IFERROR(IF(AND(COLUMN()=11,$J$4&lt;&gt;0),$J4,IF($J$4&lt;&gt;0,$J$4+(((1-$J$4)*(AUV_Reached-BM$3))/AUV_Reached),(AUV_Reached-BM$3)/AUV_Reached)),0)</f>
        <v>1</v>
      </c>
      <c r="BN4" s="271">
        <f>IFERROR(IF(AND(COLUMN()=11,$J$4&lt;&gt;0),$J4,IF($J$4&lt;&gt;0,$J$4+(((1-$J$4)*(AUV_Reached-BN$3))/AUV_Reached),(AUV_Reached-BN$3)/AUV_Reached)),0)</f>
        <v>1</v>
      </c>
      <c r="BO4" s="271">
        <f>IFERROR(IF(AND(COLUMN()=11,$J$4&lt;&gt;0),$J4,IF($J$4&lt;&gt;0,$J$4+(((1-$J$4)*(AUV_Reached-BO$3))/AUV_Reached),(AUV_Reached-BO$3)/AUV_Reached)),0)</f>
        <v>1</v>
      </c>
      <c r="BP4" s="271">
        <f>IFERROR(IF(AND(COLUMN()=11,$J$4&lt;&gt;0),$J4,IF($J$4&lt;&gt;0,$J$4+(((1-$J$4)*(AUV_Reached-BP$3))/AUV_Reached),(AUV_Reached-BP$3)/AUV_Reached)),0)</f>
        <v>1</v>
      </c>
      <c r="BQ4" s="271">
        <f>IFERROR(IF(AND(COLUMN()=11,$J$4&lt;&gt;0),$J4,IF($J$4&lt;&gt;0,$J$4+(((1-$J$4)*(AUV_Reached-BQ$3))/AUV_Reached),(AUV_Reached-BQ$3)/AUV_Reached)),0)</f>
        <v>1</v>
      </c>
      <c r="BR4" s="271">
        <f>IFERROR(IF(AND(COLUMN()=11,$J$4&lt;&gt;0),$J4,IF($J$4&lt;&gt;0,$J$4+(((1-$J$4)*(AUV_Reached-BR$3))/AUV_Reached),(AUV_Reached-BR$3)/AUV_Reached)),0)</f>
        <v>1</v>
      </c>
      <c r="BS4" s="82"/>
    </row>
    <row r="5" ht="15.75" hidden="1" customHeight="1" outlineLevel="1">
      <c r="A5" s="80"/>
      <c r="B5" s="92" t="s">
        <v>280</v>
      </c>
      <c r="C5" s="81"/>
      <c r="D5" s="82"/>
      <c r="E5" s="82"/>
      <c r="F5" s="82"/>
      <c r="G5" s="82"/>
      <c r="H5" s="82"/>
      <c r="I5" s="82"/>
      <c r="J5" s="82"/>
      <c r="K5" s="271">
        <f t="array" ref="K5">INDEX(Growth_Rate,K$2)</f>
        <v>0.13</v>
      </c>
      <c r="L5" s="271">
        <f t="array" ref="L5">INDEX(Growth_Rate,L$2)</f>
        <v>0.13</v>
      </c>
      <c r="M5" s="271">
        <f t="array" ref="M5">INDEX(Growth_Rate,M$2)</f>
        <v>0.13</v>
      </c>
      <c r="N5" s="271">
        <f t="array" ref="N5">INDEX(Growth_Rate,N$2)</f>
        <v>0.13</v>
      </c>
      <c r="O5" s="271">
        <f t="array" ref="O5">INDEX(Growth_Rate,O$2)</f>
        <v>0.13</v>
      </c>
      <c r="P5" s="271">
        <f t="array" ref="P5">INDEX(Growth_Rate,P$2)</f>
        <v>0.13</v>
      </c>
      <c r="Q5" s="271">
        <f t="array" ref="Q5">INDEX(Growth_Rate,Q$2)</f>
        <v>0.13</v>
      </c>
      <c r="R5" s="271">
        <f t="array" ref="R5">INDEX(Growth_Rate,R$2)</f>
        <v>0.13</v>
      </c>
      <c r="S5" s="271">
        <f t="array" ref="S5">INDEX(Growth_Rate,S$2)</f>
        <v>0.13</v>
      </c>
      <c r="T5" s="271">
        <f t="array" ref="T5">INDEX(Growth_Rate,T$2)</f>
        <v>0.13</v>
      </c>
      <c r="U5" s="271">
        <f t="array" ref="U5">INDEX(Growth_Rate,U$2)</f>
        <v>0.13</v>
      </c>
      <c r="V5" s="271">
        <f t="array" ref="V5">INDEX(Growth_Rate,V$2)</f>
        <v>0.13</v>
      </c>
      <c r="W5" s="271">
        <f t="array" ref="W5">INDEX(Growth_Rate,W$2)</f>
        <v>0.13</v>
      </c>
      <c r="X5" s="271">
        <f t="array" ref="X5">INDEX(Growth_Rate,X$2)</f>
        <v>0.13</v>
      </c>
      <c r="Y5" s="271">
        <f t="array" ref="Y5">INDEX(Growth_Rate,Y$2)</f>
        <v>0.13</v>
      </c>
      <c r="Z5" s="271">
        <f t="array" ref="Z5">INDEX(Growth_Rate,Z$2)</f>
        <v>0.13</v>
      </c>
      <c r="AA5" s="271">
        <f t="array" ref="AA5">INDEX(Growth_Rate,AA$2)</f>
        <v>0.13</v>
      </c>
      <c r="AB5" s="271">
        <f t="array" ref="AB5">INDEX(Growth_Rate,AB$2)</f>
        <v>0.13</v>
      </c>
      <c r="AC5" s="271">
        <f t="array" ref="AC5">INDEX(Growth_Rate,AC$2)</f>
        <v>0.13</v>
      </c>
      <c r="AD5" s="271">
        <f t="array" ref="AD5">INDEX(Growth_Rate,AD$2)</f>
        <v>0.13</v>
      </c>
      <c r="AE5" s="271">
        <f t="array" ref="AE5">INDEX(Growth_Rate,AE$2)</f>
        <v>0.13</v>
      </c>
      <c r="AF5" s="271">
        <f t="array" ref="AF5">INDEX(Growth_Rate,AF$2)</f>
        <v>0.13</v>
      </c>
      <c r="AG5" s="271">
        <f t="array" ref="AG5">INDEX(Growth_Rate,AG$2)</f>
        <v>0.13</v>
      </c>
      <c r="AH5" s="271">
        <f t="array" ref="AH5">INDEX(Growth_Rate,AH$2)</f>
        <v>0.13</v>
      </c>
      <c r="AI5" s="271">
        <f t="array" ref="AI5">INDEX(Growth_Rate,AI$2)</f>
        <v>0.1</v>
      </c>
      <c r="AJ5" s="271">
        <f t="array" ref="AJ5">INDEX(Growth_Rate,AJ$2)</f>
        <v>0.1</v>
      </c>
      <c r="AK5" s="271">
        <f t="array" ref="AK5">INDEX(Growth_Rate,AK$2)</f>
        <v>0.1</v>
      </c>
      <c r="AL5" s="271">
        <f t="array" ref="AL5">INDEX(Growth_Rate,AL$2)</f>
        <v>0.1</v>
      </c>
      <c r="AM5" s="271">
        <f t="array" ref="AM5">INDEX(Growth_Rate,AM$2)</f>
        <v>0.1</v>
      </c>
      <c r="AN5" s="271">
        <f t="array" ref="AN5">INDEX(Growth_Rate,AN$2)</f>
        <v>0.1</v>
      </c>
      <c r="AO5" s="271">
        <f t="array" ref="AO5">INDEX(Growth_Rate,AO$2)</f>
        <v>0.1</v>
      </c>
      <c r="AP5" s="271">
        <f t="array" ref="AP5">INDEX(Growth_Rate,AP$2)</f>
        <v>0.1</v>
      </c>
      <c r="AQ5" s="271">
        <f t="array" ref="AQ5">INDEX(Growth_Rate,AQ$2)</f>
        <v>0.1</v>
      </c>
      <c r="AR5" s="271">
        <f t="array" ref="AR5">INDEX(Growth_Rate,AR$2)</f>
        <v>0.1</v>
      </c>
      <c r="AS5" s="271">
        <f t="array" ref="AS5">INDEX(Growth_Rate,AS$2)</f>
        <v>0.1</v>
      </c>
      <c r="AT5" s="271">
        <f t="array" ref="AT5">INDEX(Growth_Rate,AT$2)</f>
        <v>0.1</v>
      </c>
      <c r="AU5" s="271">
        <f t="array" ref="AU5">INDEX(Growth_Rate,AU$2)</f>
        <v>0.08</v>
      </c>
      <c r="AV5" s="271">
        <f t="array" ref="AV5">INDEX(Growth_Rate,AV$2)</f>
        <v>0.08</v>
      </c>
      <c r="AW5" s="271">
        <f t="array" ref="AW5">INDEX(Growth_Rate,AW$2)</f>
        <v>0.08</v>
      </c>
      <c r="AX5" s="271">
        <f t="array" ref="AX5">INDEX(Growth_Rate,AX$2)</f>
        <v>0.08</v>
      </c>
      <c r="AY5" s="271">
        <f t="array" ref="AY5">INDEX(Growth_Rate,AY$2)</f>
        <v>0.08</v>
      </c>
      <c r="AZ5" s="271">
        <f t="array" ref="AZ5">INDEX(Growth_Rate,AZ$2)</f>
        <v>0.08</v>
      </c>
      <c r="BA5" s="271">
        <f t="array" ref="BA5">INDEX(Growth_Rate,BA$2)</f>
        <v>0.08</v>
      </c>
      <c r="BB5" s="271">
        <f t="array" ref="BB5">INDEX(Growth_Rate,BB$2)</f>
        <v>0.08</v>
      </c>
      <c r="BC5" s="271">
        <f t="array" ref="BC5">INDEX(Growth_Rate,BC$2)</f>
        <v>0.08</v>
      </c>
      <c r="BD5" s="271">
        <f t="array" ref="BD5">INDEX(Growth_Rate,BD$2)</f>
        <v>0.08</v>
      </c>
      <c r="BE5" s="271">
        <f t="array" ref="BE5">INDEX(Growth_Rate,BE$2)</f>
        <v>0.08</v>
      </c>
      <c r="BF5" s="271">
        <f t="array" ref="BF5">INDEX(Growth_Rate,BF$2)</f>
        <v>0.08</v>
      </c>
      <c r="BG5" s="271">
        <f t="array" ref="BG5">INDEX(Growth_Rate,BG$2)</f>
        <v>0.08</v>
      </c>
      <c r="BH5" s="271">
        <f t="array" ref="BH5">INDEX(Growth_Rate,BH$2)</f>
        <v>0.08</v>
      </c>
      <c r="BI5" s="271">
        <f t="array" ref="BI5">INDEX(Growth_Rate,BI$2)</f>
        <v>0.08</v>
      </c>
      <c r="BJ5" s="271">
        <f t="array" ref="BJ5">INDEX(Growth_Rate,BJ$2)</f>
        <v>0.08</v>
      </c>
      <c r="BK5" s="271">
        <f t="array" ref="BK5">INDEX(Growth_Rate,BK$2)</f>
        <v>0.08</v>
      </c>
      <c r="BL5" s="271">
        <f t="array" ref="BL5">INDEX(Growth_Rate,BL$2)</f>
        <v>0.08</v>
      </c>
      <c r="BM5" s="271">
        <f t="array" ref="BM5">INDEX(Growth_Rate,BM$2)</f>
        <v>0.08</v>
      </c>
      <c r="BN5" s="271">
        <f t="array" ref="BN5">INDEX(Growth_Rate,BN$2)</f>
        <v>0.08</v>
      </c>
      <c r="BO5" s="271">
        <f t="array" ref="BO5">INDEX(Growth_Rate,BO$2)</f>
        <v>0.08</v>
      </c>
      <c r="BP5" s="271">
        <f t="array" ref="BP5">INDEX(Growth_Rate,BP$2)</f>
        <v>0.08</v>
      </c>
      <c r="BQ5" s="271">
        <f t="array" ref="BQ5">INDEX(Growth_Rate,BQ$2)</f>
        <v>0.08</v>
      </c>
      <c r="BR5" s="271">
        <f t="array" ref="BR5">INDEX(Growth_Rate,BR$2)</f>
        <v>0.08</v>
      </c>
      <c r="BS5" s="82"/>
    </row>
    <row r="6" ht="15.75" hidden="1" customHeight="1" outlineLevel="1">
      <c r="A6" s="80"/>
      <c r="B6" s="92" t="s">
        <v>281</v>
      </c>
      <c r="C6" s="81"/>
      <c r="D6" s="82"/>
      <c r="E6" s="272"/>
      <c r="F6" s="272"/>
      <c r="G6" s="272"/>
      <c r="H6" s="272"/>
      <c r="I6" s="272"/>
      <c r="J6" s="273"/>
      <c r="K6" s="274">
        <f>EOMONTH(Start_Date,0)</f>
        <v>45535</v>
      </c>
      <c r="L6" s="274">
        <f t="shared" ref="L6:BR6" si="3">EOMONTH(K6,1)</f>
        <v>45565</v>
      </c>
      <c r="M6" s="274">
        <f t="shared" si="3"/>
        <v>45596</v>
      </c>
      <c r="N6" s="274">
        <f t="shared" si="3"/>
        <v>45626</v>
      </c>
      <c r="O6" s="274">
        <f t="shared" si="3"/>
        <v>45657</v>
      </c>
      <c r="P6" s="274">
        <f t="shared" si="3"/>
        <v>45688</v>
      </c>
      <c r="Q6" s="274">
        <f t="shared" si="3"/>
        <v>45716</v>
      </c>
      <c r="R6" s="274">
        <f t="shared" si="3"/>
        <v>45747</v>
      </c>
      <c r="S6" s="274">
        <f t="shared" si="3"/>
        <v>45777</v>
      </c>
      <c r="T6" s="274">
        <f t="shared" si="3"/>
        <v>45808</v>
      </c>
      <c r="U6" s="274">
        <f t="shared" si="3"/>
        <v>45838</v>
      </c>
      <c r="V6" s="274">
        <f t="shared" si="3"/>
        <v>45869</v>
      </c>
      <c r="W6" s="274">
        <f t="shared" si="3"/>
        <v>45900</v>
      </c>
      <c r="X6" s="274">
        <f t="shared" si="3"/>
        <v>45930</v>
      </c>
      <c r="Y6" s="274">
        <f t="shared" si="3"/>
        <v>45961</v>
      </c>
      <c r="Z6" s="274">
        <f t="shared" si="3"/>
        <v>45991</v>
      </c>
      <c r="AA6" s="274">
        <f t="shared" si="3"/>
        <v>46022</v>
      </c>
      <c r="AB6" s="274">
        <f t="shared" si="3"/>
        <v>46053</v>
      </c>
      <c r="AC6" s="274">
        <f t="shared" si="3"/>
        <v>46081</v>
      </c>
      <c r="AD6" s="274">
        <f t="shared" si="3"/>
        <v>46112</v>
      </c>
      <c r="AE6" s="274">
        <f t="shared" si="3"/>
        <v>46142</v>
      </c>
      <c r="AF6" s="274">
        <f t="shared" si="3"/>
        <v>46173</v>
      </c>
      <c r="AG6" s="274">
        <f t="shared" si="3"/>
        <v>46203</v>
      </c>
      <c r="AH6" s="274">
        <f t="shared" si="3"/>
        <v>46234</v>
      </c>
      <c r="AI6" s="274">
        <f t="shared" si="3"/>
        <v>46265</v>
      </c>
      <c r="AJ6" s="274">
        <f t="shared" si="3"/>
        <v>46295</v>
      </c>
      <c r="AK6" s="274">
        <f t="shared" si="3"/>
        <v>46326</v>
      </c>
      <c r="AL6" s="274">
        <f t="shared" si="3"/>
        <v>46356</v>
      </c>
      <c r="AM6" s="274">
        <f t="shared" si="3"/>
        <v>46387</v>
      </c>
      <c r="AN6" s="274">
        <f t="shared" si="3"/>
        <v>46418</v>
      </c>
      <c r="AO6" s="274">
        <f t="shared" si="3"/>
        <v>46446</v>
      </c>
      <c r="AP6" s="274">
        <f t="shared" si="3"/>
        <v>46477</v>
      </c>
      <c r="AQ6" s="274">
        <f t="shared" si="3"/>
        <v>46507</v>
      </c>
      <c r="AR6" s="274">
        <f t="shared" si="3"/>
        <v>46538</v>
      </c>
      <c r="AS6" s="274">
        <f t="shared" si="3"/>
        <v>46568</v>
      </c>
      <c r="AT6" s="274">
        <f t="shared" si="3"/>
        <v>46599</v>
      </c>
      <c r="AU6" s="274">
        <f t="shared" si="3"/>
        <v>46630</v>
      </c>
      <c r="AV6" s="274">
        <f t="shared" si="3"/>
        <v>46660</v>
      </c>
      <c r="AW6" s="274">
        <f t="shared" si="3"/>
        <v>46691</v>
      </c>
      <c r="AX6" s="274">
        <f t="shared" si="3"/>
        <v>46721</v>
      </c>
      <c r="AY6" s="274">
        <f t="shared" si="3"/>
        <v>46752</v>
      </c>
      <c r="AZ6" s="274">
        <f t="shared" si="3"/>
        <v>46783</v>
      </c>
      <c r="BA6" s="274">
        <f t="shared" si="3"/>
        <v>46812</v>
      </c>
      <c r="BB6" s="274">
        <f t="shared" si="3"/>
        <v>46843</v>
      </c>
      <c r="BC6" s="274">
        <f t="shared" si="3"/>
        <v>46873</v>
      </c>
      <c r="BD6" s="274">
        <f t="shared" si="3"/>
        <v>46904</v>
      </c>
      <c r="BE6" s="274">
        <f t="shared" si="3"/>
        <v>46934</v>
      </c>
      <c r="BF6" s="274">
        <f t="shared" si="3"/>
        <v>46965</v>
      </c>
      <c r="BG6" s="274">
        <f t="shared" si="3"/>
        <v>46996</v>
      </c>
      <c r="BH6" s="274">
        <f t="shared" si="3"/>
        <v>47026</v>
      </c>
      <c r="BI6" s="274">
        <f t="shared" si="3"/>
        <v>47057</v>
      </c>
      <c r="BJ6" s="274">
        <f t="shared" si="3"/>
        <v>47087</v>
      </c>
      <c r="BK6" s="274">
        <f t="shared" si="3"/>
        <v>47118</v>
      </c>
      <c r="BL6" s="274">
        <f t="shared" si="3"/>
        <v>47149</v>
      </c>
      <c r="BM6" s="274">
        <f t="shared" si="3"/>
        <v>47177</v>
      </c>
      <c r="BN6" s="274">
        <f t="shared" si="3"/>
        <v>47208</v>
      </c>
      <c r="BO6" s="274">
        <f t="shared" si="3"/>
        <v>47238</v>
      </c>
      <c r="BP6" s="274">
        <f t="shared" si="3"/>
        <v>47269</v>
      </c>
      <c r="BQ6" s="274">
        <f t="shared" si="3"/>
        <v>47299</v>
      </c>
      <c r="BR6" s="274">
        <f t="shared" si="3"/>
        <v>47330</v>
      </c>
      <c r="BS6" s="273"/>
    </row>
    <row r="7" ht="15.75" hidden="1" customHeight="1" outlineLevel="1">
      <c r="A7" s="269"/>
      <c r="B7" s="72" t="s">
        <v>282</v>
      </c>
      <c r="C7" s="73"/>
      <c r="D7" s="74"/>
      <c r="E7" s="74"/>
      <c r="F7" s="74"/>
      <c r="G7" s="74"/>
      <c r="H7" s="74"/>
      <c r="I7" s="74"/>
      <c r="J7" s="74"/>
      <c r="K7" s="74">
        <f>IF(MONTH(K$13)=MONTH(Fin_Year_End),1,0)</f>
        <v>0</v>
      </c>
      <c r="L7" s="74">
        <f>IF(MONTH(L$13)=MONTH(Fin_Year_End),1,0)</f>
        <v>0</v>
      </c>
      <c r="M7" s="74">
        <f>IF(MONTH(M$13)=MONTH(Fin_Year_End),1,0)</f>
        <v>0</v>
      </c>
      <c r="N7" s="74">
        <f>IF(MONTH(N$13)=MONTH(Fin_Year_End),1,0)</f>
        <v>0</v>
      </c>
      <c r="O7" s="74">
        <f>IF(MONTH(O$13)=MONTH(Fin_Year_End),1,0)</f>
        <v>0</v>
      </c>
      <c r="P7" s="74">
        <f>IF(MONTH(P$13)=MONTH(Fin_Year_End),1,0)</f>
        <v>0</v>
      </c>
      <c r="Q7" s="74">
        <f>IF(MONTH(Q$13)=MONTH(Fin_Year_End),1,0)</f>
        <v>0</v>
      </c>
      <c r="R7" s="74">
        <f>IF(MONTH(R$13)=MONTH(Fin_Year_End),1,0)</f>
        <v>0</v>
      </c>
      <c r="S7" s="74">
        <f>IF(MONTH(S$13)=MONTH(Fin_Year_End),1,0)</f>
        <v>0</v>
      </c>
      <c r="T7" s="74">
        <f>IF(MONTH(T$13)=MONTH(Fin_Year_End),1,0)</f>
        <v>0</v>
      </c>
      <c r="U7" s="74">
        <f>IF(MONTH(U$13)=MONTH(Fin_Year_End),1,0)</f>
        <v>0</v>
      </c>
      <c r="V7" s="74">
        <f>IF(MONTH(V$13)=MONTH(Fin_Year_End),1,0)</f>
        <v>1</v>
      </c>
      <c r="W7" s="74">
        <f>IF(MONTH(W$13)=MONTH(Fin_Year_End),1,0)</f>
        <v>0</v>
      </c>
      <c r="X7" s="74">
        <f>IF(MONTH(X$13)=MONTH(Fin_Year_End),1,0)</f>
        <v>0</v>
      </c>
      <c r="Y7" s="74">
        <f>IF(MONTH(Y$13)=MONTH(Fin_Year_End),1,0)</f>
        <v>0</v>
      </c>
      <c r="Z7" s="74">
        <f>IF(MONTH(Z$13)=MONTH(Fin_Year_End),1,0)</f>
        <v>0</v>
      </c>
      <c r="AA7" s="74">
        <f>IF(MONTH(AA$13)=MONTH(Fin_Year_End),1,0)</f>
        <v>0</v>
      </c>
      <c r="AB7" s="74">
        <f>IF(MONTH(AB$13)=MONTH(Fin_Year_End),1,0)</f>
        <v>0</v>
      </c>
      <c r="AC7" s="74">
        <f>IF(MONTH(AC$13)=MONTH(Fin_Year_End),1,0)</f>
        <v>0</v>
      </c>
      <c r="AD7" s="74">
        <f>IF(MONTH(AD$13)=MONTH(Fin_Year_End),1,0)</f>
        <v>0</v>
      </c>
      <c r="AE7" s="74">
        <f>IF(MONTH(AE$13)=MONTH(Fin_Year_End),1,0)</f>
        <v>0</v>
      </c>
      <c r="AF7" s="74">
        <f>IF(MONTH(AF$13)=MONTH(Fin_Year_End),1,0)</f>
        <v>0</v>
      </c>
      <c r="AG7" s="74">
        <f>IF(MONTH(AG$13)=MONTH(Fin_Year_End),1,0)</f>
        <v>0</v>
      </c>
      <c r="AH7" s="74">
        <f>IF(MONTH(AH$13)=MONTH(Fin_Year_End),1,0)</f>
        <v>1</v>
      </c>
      <c r="AI7" s="74">
        <f>IF(MONTH(AI$13)=MONTH(Fin_Year_End),1,0)</f>
        <v>0</v>
      </c>
      <c r="AJ7" s="74">
        <f>IF(MONTH(AJ$13)=MONTH(Fin_Year_End),1,0)</f>
        <v>0</v>
      </c>
      <c r="AK7" s="74">
        <f>IF(MONTH(AK$13)=MONTH(Fin_Year_End),1,0)</f>
        <v>0</v>
      </c>
      <c r="AL7" s="74">
        <f>IF(MONTH(AL$13)=MONTH(Fin_Year_End),1,0)</f>
        <v>0</v>
      </c>
      <c r="AM7" s="74">
        <f>IF(MONTH(AM$13)=MONTH(Fin_Year_End),1,0)</f>
        <v>0</v>
      </c>
      <c r="AN7" s="74">
        <f>IF(MONTH(AN$13)=MONTH(Fin_Year_End),1,0)</f>
        <v>0</v>
      </c>
      <c r="AO7" s="74">
        <f>IF(MONTH(AO$13)=MONTH(Fin_Year_End),1,0)</f>
        <v>0</v>
      </c>
      <c r="AP7" s="74">
        <f>IF(MONTH(AP$13)=MONTH(Fin_Year_End),1,0)</f>
        <v>0</v>
      </c>
      <c r="AQ7" s="74">
        <f>IF(MONTH(AQ$13)=MONTH(Fin_Year_End),1,0)</f>
        <v>0</v>
      </c>
      <c r="AR7" s="74">
        <f>IF(MONTH(AR$13)=MONTH(Fin_Year_End),1,0)</f>
        <v>0</v>
      </c>
      <c r="AS7" s="74">
        <f>IF(MONTH(AS$13)=MONTH(Fin_Year_End),1,0)</f>
        <v>0</v>
      </c>
      <c r="AT7" s="74">
        <f>IF(MONTH(AT$13)=MONTH(Fin_Year_End),1,0)</f>
        <v>1</v>
      </c>
      <c r="AU7" s="74">
        <f>IF(MONTH(AU$13)=MONTH(Fin_Year_End),1,0)</f>
        <v>0</v>
      </c>
      <c r="AV7" s="74">
        <f>IF(MONTH(AV$13)=MONTH(Fin_Year_End),1,0)</f>
        <v>0</v>
      </c>
      <c r="AW7" s="74">
        <f>IF(MONTH(AW$13)=MONTH(Fin_Year_End),1,0)</f>
        <v>0</v>
      </c>
      <c r="AX7" s="74">
        <f>IF(MONTH(AX$13)=MONTH(Fin_Year_End),1,0)</f>
        <v>0</v>
      </c>
      <c r="AY7" s="74">
        <f>IF(MONTH(AY$13)=MONTH(Fin_Year_End),1,0)</f>
        <v>0</v>
      </c>
      <c r="AZ7" s="74">
        <f>IF(MONTH(AZ$13)=MONTH(Fin_Year_End),1,0)</f>
        <v>0</v>
      </c>
      <c r="BA7" s="74">
        <f>IF(MONTH(BA$13)=MONTH(Fin_Year_End),1,0)</f>
        <v>0</v>
      </c>
      <c r="BB7" s="74">
        <f>IF(MONTH(BB$13)=MONTH(Fin_Year_End),1,0)</f>
        <v>0</v>
      </c>
      <c r="BC7" s="74">
        <f>IF(MONTH(BC$13)=MONTH(Fin_Year_End),1,0)</f>
        <v>0</v>
      </c>
      <c r="BD7" s="74">
        <f>IF(MONTH(BD$13)=MONTH(Fin_Year_End),1,0)</f>
        <v>0</v>
      </c>
      <c r="BE7" s="74">
        <f>IF(MONTH(BE$13)=MONTH(Fin_Year_End),1,0)</f>
        <v>0</v>
      </c>
      <c r="BF7" s="74">
        <f>IF(MONTH(BF$13)=MONTH(Fin_Year_End),1,0)</f>
        <v>1</v>
      </c>
      <c r="BG7" s="74">
        <f>IF(MONTH(BG$13)=MONTH(Fin_Year_End),1,0)</f>
        <v>0</v>
      </c>
      <c r="BH7" s="74">
        <f>IF(MONTH(BH$13)=MONTH(Fin_Year_End),1,0)</f>
        <v>0</v>
      </c>
      <c r="BI7" s="74">
        <f>IF(MONTH(BI$13)=MONTH(Fin_Year_End),1,0)</f>
        <v>0</v>
      </c>
      <c r="BJ7" s="74">
        <f>IF(MONTH(BJ$13)=MONTH(Fin_Year_End),1,0)</f>
        <v>0</v>
      </c>
      <c r="BK7" s="74">
        <f>IF(MONTH(BK$13)=MONTH(Fin_Year_End),1,0)</f>
        <v>0</v>
      </c>
      <c r="BL7" s="74">
        <f>IF(MONTH(BL$13)=MONTH(Fin_Year_End),1,0)</f>
        <v>0</v>
      </c>
      <c r="BM7" s="74">
        <f>IF(MONTH(BM$13)=MONTH(Fin_Year_End),1,0)</f>
        <v>0</v>
      </c>
      <c r="BN7" s="74">
        <f>IF(MONTH(BN$13)=MONTH(Fin_Year_End),1,0)</f>
        <v>0</v>
      </c>
      <c r="BO7" s="74">
        <f>IF(MONTH(BO$13)=MONTH(Fin_Year_End),1,0)</f>
        <v>0</v>
      </c>
      <c r="BP7" s="74">
        <f>IF(MONTH(BP$13)=MONTH(Fin_Year_End),1,0)</f>
        <v>0</v>
      </c>
      <c r="BQ7" s="74">
        <f>IF(MONTH(BQ$13)=MONTH(Fin_Year_End),1,0)</f>
        <v>0</v>
      </c>
      <c r="BR7" s="74">
        <f>IF(MONTH(BR$13)=MONTH(Fin_Year_End),1,0)</f>
        <v>1</v>
      </c>
      <c r="BS7" s="74"/>
    </row>
    <row r="8" ht="15.75" hidden="1" customHeight="1" outlineLevel="1">
      <c r="A8" s="269"/>
      <c r="B8" s="72" t="s">
        <v>283</v>
      </c>
      <c r="C8" s="73"/>
      <c r="D8" s="74"/>
      <c r="E8" s="74"/>
      <c r="F8" s="74"/>
      <c r="G8" s="74"/>
      <c r="H8" s="74"/>
      <c r="I8" s="74"/>
      <c r="J8" s="74"/>
      <c r="K8" s="74">
        <f>IF(AND(OFFSET(K7,0,-Corp_Tax_Pay_Lag)=1,OFFSET(K6,0,-Corp_Tax_Pay_Lag)=EOMONTH(K6,-Corp_Tax_Pay_Lag)),1,0)</f>
        <v>0</v>
      </c>
      <c r="L8" s="74">
        <f>IF(AND(OFFSET(L7,0,-Corp_Tax_Pay_Lag)=1,OFFSET(L6,0,-Corp_Tax_Pay_Lag)=EOMONTH(L6,-Corp_Tax_Pay_Lag)),1,0)</f>
        <v>0</v>
      </c>
      <c r="M8" s="74">
        <f>IF(AND(OFFSET(M7,0,-Corp_Tax_Pay_Lag)=1,OFFSET(M6,0,-Corp_Tax_Pay_Lag)=EOMONTH(M6,-Corp_Tax_Pay_Lag)),1,0)</f>
        <v>0</v>
      </c>
      <c r="N8" s="74">
        <f>IF(AND(OFFSET(N7,0,-Corp_Tax_Pay_Lag)=1,OFFSET(N6,0,-Corp_Tax_Pay_Lag)=EOMONTH(N6,-Corp_Tax_Pay_Lag)),1,0)</f>
        <v>0</v>
      </c>
      <c r="O8" s="74">
        <f>IF(AND(OFFSET(O7,0,-Corp_Tax_Pay_Lag)=1,OFFSET(O6,0,-Corp_Tax_Pay_Lag)=EOMONTH(O6,-Corp_Tax_Pay_Lag)),1,0)</f>
        <v>0</v>
      </c>
      <c r="P8" s="74">
        <f>IF(AND(OFFSET(P7,0,-Corp_Tax_Pay_Lag)=1,OFFSET(P6,0,-Corp_Tax_Pay_Lag)=EOMONTH(P6,-Corp_Tax_Pay_Lag)),1,0)</f>
        <v>0</v>
      </c>
      <c r="Q8" s="74">
        <f>IF(AND(OFFSET(Q7,0,-Corp_Tax_Pay_Lag)=1,OFFSET(Q6,0,-Corp_Tax_Pay_Lag)=EOMONTH(Q6,-Corp_Tax_Pay_Lag)),1,0)</f>
        <v>0</v>
      </c>
      <c r="R8" s="74">
        <f>IF(AND(OFFSET(R7,0,-Corp_Tax_Pay_Lag)=1,OFFSET(R6,0,-Corp_Tax_Pay_Lag)=EOMONTH(R6,-Corp_Tax_Pay_Lag)),1,0)</f>
        <v>0</v>
      </c>
      <c r="S8" s="74">
        <f>IF(AND(OFFSET(S7,0,-Corp_Tax_Pay_Lag)=1,OFFSET(S6,0,-Corp_Tax_Pay_Lag)=EOMONTH(S6,-Corp_Tax_Pay_Lag)),1,0)</f>
        <v>0</v>
      </c>
      <c r="T8" s="74">
        <f>IF(AND(OFFSET(T7,0,-Corp_Tax_Pay_Lag)=1,OFFSET(T6,0,-Corp_Tax_Pay_Lag)=EOMONTH(T6,-Corp_Tax_Pay_Lag)),1,0)</f>
        <v>0</v>
      </c>
      <c r="U8" s="74">
        <f>IF(AND(OFFSET(U7,0,-Corp_Tax_Pay_Lag)=1,OFFSET(U6,0,-Corp_Tax_Pay_Lag)=EOMONTH(U6,-Corp_Tax_Pay_Lag)),1,0)</f>
        <v>0</v>
      </c>
      <c r="V8" s="74">
        <f>IF(AND(OFFSET(V7,0,-Corp_Tax_Pay_Lag)=1,OFFSET(V6,0,-Corp_Tax_Pay_Lag)=EOMONTH(V6,-Corp_Tax_Pay_Lag)),1,0)</f>
        <v>0</v>
      </c>
      <c r="W8" s="74">
        <f>IF(AND(OFFSET(W7,0,-Corp_Tax_Pay_Lag)=1,OFFSET(W6,0,-Corp_Tax_Pay_Lag)=EOMONTH(W6,-Corp_Tax_Pay_Lag)),1,0)</f>
        <v>0</v>
      </c>
      <c r="X8" s="74">
        <f>IF(AND(OFFSET(X7,0,-Corp_Tax_Pay_Lag)=1,OFFSET(X6,0,-Corp_Tax_Pay_Lag)=EOMONTH(X6,-Corp_Tax_Pay_Lag)),1,0)</f>
        <v>0</v>
      </c>
      <c r="Y8" s="74">
        <f>IF(AND(OFFSET(Y7,0,-Corp_Tax_Pay_Lag)=1,OFFSET(Y6,0,-Corp_Tax_Pay_Lag)=EOMONTH(Y6,-Corp_Tax_Pay_Lag)),1,0)</f>
        <v>0</v>
      </c>
      <c r="Z8" s="74">
        <f>IF(AND(OFFSET(Z7,0,-Corp_Tax_Pay_Lag)=1,OFFSET(Z6,0,-Corp_Tax_Pay_Lag)=EOMONTH(Z6,-Corp_Tax_Pay_Lag)),1,0)</f>
        <v>0</v>
      </c>
      <c r="AA8" s="74">
        <f>IF(AND(OFFSET(AA7,0,-Corp_Tax_Pay_Lag)=1,OFFSET(AA6,0,-Corp_Tax_Pay_Lag)=EOMONTH(AA6,-Corp_Tax_Pay_Lag)),1,0)</f>
        <v>0</v>
      </c>
      <c r="AB8" s="74">
        <f>IF(AND(OFFSET(AB7,0,-Corp_Tax_Pay_Lag)=1,OFFSET(AB6,0,-Corp_Tax_Pay_Lag)=EOMONTH(AB6,-Corp_Tax_Pay_Lag)),1,0)</f>
        <v>0</v>
      </c>
      <c r="AC8" s="74">
        <f>IF(AND(OFFSET(AC7,0,-Corp_Tax_Pay_Lag)=1,OFFSET(AC6,0,-Corp_Tax_Pay_Lag)=EOMONTH(AC6,-Corp_Tax_Pay_Lag)),1,0)</f>
        <v>0</v>
      </c>
      <c r="AD8" s="74">
        <f>IF(AND(OFFSET(AD7,0,-Corp_Tax_Pay_Lag)=1,OFFSET(AD6,0,-Corp_Tax_Pay_Lag)=EOMONTH(AD6,-Corp_Tax_Pay_Lag)),1,0)</f>
        <v>0</v>
      </c>
      <c r="AE8" s="74">
        <f>IF(AND(OFFSET(AE7,0,-Corp_Tax_Pay_Lag)=1,OFFSET(AE6,0,-Corp_Tax_Pay_Lag)=EOMONTH(AE6,-Corp_Tax_Pay_Lag)),1,0)</f>
        <v>1</v>
      </c>
      <c r="AF8" s="74">
        <f>IF(AND(OFFSET(AF7,0,-Corp_Tax_Pay_Lag)=1,OFFSET(AF6,0,-Corp_Tax_Pay_Lag)=EOMONTH(AF6,-Corp_Tax_Pay_Lag)),1,0)</f>
        <v>0</v>
      </c>
      <c r="AG8" s="74">
        <f>IF(AND(OFFSET(AG7,0,-Corp_Tax_Pay_Lag)=1,OFFSET(AG6,0,-Corp_Tax_Pay_Lag)=EOMONTH(AG6,-Corp_Tax_Pay_Lag)),1,0)</f>
        <v>0</v>
      </c>
      <c r="AH8" s="74">
        <f>IF(AND(OFFSET(AH7,0,-Corp_Tax_Pay_Lag)=1,OFFSET(AH6,0,-Corp_Tax_Pay_Lag)=EOMONTH(AH6,-Corp_Tax_Pay_Lag)),1,0)</f>
        <v>0</v>
      </c>
      <c r="AI8" s="74">
        <f>IF(AND(OFFSET(AI7,0,-Corp_Tax_Pay_Lag)=1,OFFSET(AI6,0,-Corp_Tax_Pay_Lag)=EOMONTH(AI6,-Corp_Tax_Pay_Lag)),1,0)</f>
        <v>0</v>
      </c>
      <c r="AJ8" s="74">
        <f>IF(AND(OFFSET(AJ7,0,-Corp_Tax_Pay_Lag)=1,OFFSET(AJ6,0,-Corp_Tax_Pay_Lag)=EOMONTH(AJ6,-Corp_Tax_Pay_Lag)),1,0)</f>
        <v>0</v>
      </c>
      <c r="AK8" s="74">
        <f>IF(AND(OFFSET(AK7,0,-Corp_Tax_Pay_Lag)=1,OFFSET(AK6,0,-Corp_Tax_Pay_Lag)=EOMONTH(AK6,-Corp_Tax_Pay_Lag)),1,0)</f>
        <v>0</v>
      </c>
      <c r="AL8" s="74">
        <f>IF(AND(OFFSET(AL7,0,-Corp_Tax_Pay_Lag)=1,OFFSET(AL6,0,-Corp_Tax_Pay_Lag)=EOMONTH(AL6,-Corp_Tax_Pay_Lag)),1,0)</f>
        <v>0</v>
      </c>
      <c r="AM8" s="74">
        <f>IF(AND(OFFSET(AM7,0,-Corp_Tax_Pay_Lag)=1,OFFSET(AM6,0,-Corp_Tax_Pay_Lag)=EOMONTH(AM6,-Corp_Tax_Pay_Lag)),1,0)</f>
        <v>0</v>
      </c>
      <c r="AN8" s="74">
        <f>IF(AND(OFFSET(AN7,0,-Corp_Tax_Pay_Lag)=1,OFFSET(AN6,0,-Corp_Tax_Pay_Lag)=EOMONTH(AN6,-Corp_Tax_Pay_Lag)),1,0)</f>
        <v>0</v>
      </c>
      <c r="AO8" s="74">
        <f>IF(AND(OFFSET(AO7,0,-Corp_Tax_Pay_Lag)=1,OFFSET(AO6,0,-Corp_Tax_Pay_Lag)=EOMONTH(AO6,-Corp_Tax_Pay_Lag)),1,0)</f>
        <v>0</v>
      </c>
      <c r="AP8" s="74">
        <f>IF(AND(OFFSET(AP7,0,-Corp_Tax_Pay_Lag)=1,OFFSET(AP6,0,-Corp_Tax_Pay_Lag)=EOMONTH(AP6,-Corp_Tax_Pay_Lag)),1,0)</f>
        <v>0</v>
      </c>
      <c r="AQ8" s="74">
        <f>IF(AND(OFFSET(AQ7,0,-Corp_Tax_Pay_Lag)=1,OFFSET(AQ6,0,-Corp_Tax_Pay_Lag)=EOMONTH(AQ6,-Corp_Tax_Pay_Lag)),1,0)</f>
        <v>1</v>
      </c>
      <c r="AR8" s="74">
        <f>IF(AND(OFFSET(AR7,0,-Corp_Tax_Pay_Lag)=1,OFFSET(AR6,0,-Corp_Tax_Pay_Lag)=EOMONTH(AR6,-Corp_Tax_Pay_Lag)),1,0)</f>
        <v>0</v>
      </c>
      <c r="AS8" s="74">
        <f>IF(AND(OFFSET(AS7,0,-Corp_Tax_Pay_Lag)=1,OFFSET(AS6,0,-Corp_Tax_Pay_Lag)=EOMONTH(AS6,-Corp_Tax_Pay_Lag)),1,0)</f>
        <v>0</v>
      </c>
      <c r="AT8" s="74">
        <f>IF(AND(OFFSET(AT7,0,-Corp_Tax_Pay_Lag)=1,OFFSET(AT6,0,-Corp_Tax_Pay_Lag)=EOMONTH(AT6,-Corp_Tax_Pay_Lag)),1,0)</f>
        <v>0</v>
      </c>
      <c r="AU8" s="74">
        <f>IF(AND(OFFSET(AU7,0,-Corp_Tax_Pay_Lag)=1,OFFSET(AU6,0,-Corp_Tax_Pay_Lag)=EOMONTH(AU6,-Corp_Tax_Pay_Lag)),1,0)</f>
        <v>0</v>
      </c>
      <c r="AV8" s="74">
        <f>IF(AND(OFFSET(AV7,0,-Corp_Tax_Pay_Lag)=1,OFFSET(AV6,0,-Corp_Tax_Pay_Lag)=EOMONTH(AV6,-Corp_Tax_Pay_Lag)),1,0)</f>
        <v>0</v>
      </c>
      <c r="AW8" s="74">
        <f>IF(AND(OFFSET(AW7,0,-Corp_Tax_Pay_Lag)=1,OFFSET(AW6,0,-Corp_Tax_Pay_Lag)=EOMONTH(AW6,-Corp_Tax_Pay_Lag)),1,0)</f>
        <v>0</v>
      </c>
      <c r="AX8" s="74">
        <f>IF(AND(OFFSET(AX7,0,-Corp_Tax_Pay_Lag)=1,OFFSET(AX6,0,-Corp_Tax_Pay_Lag)=EOMONTH(AX6,-Corp_Tax_Pay_Lag)),1,0)</f>
        <v>0</v>
      </c>
      <c r="AY8" s="74">
        <f>IF(AND(OFFSET(AY7,0,-Corp_Tax_Pay_Lag)=1,OFFSET(AY6,0,-Corp_Tax_Pay_Lag)=EOMONTH(AY6,-Corp_Tax_Pay_Lag)),1,0)</f>
        <v>0</v>
      </c>
      <c r="AZ8" s="74">
        <f>IF(AND(OFFSET(AZ7,0,-Corp_Tax_Pay_Lag)=1,OFFSET(AZ6,0,-Corp_Tax_Pay_Lag)=EOMONTH(AZ6,-Corp_Tax_Pay_Lag)),1,0)</f>
        <v>0</v>
      </c>
      <c r="BA8" s="74">
        <f>IF(AND(OFFSET(BA7,0,-Corp_Tax_Pay_Lag)=1,OFFSET(BA6,0,-Corp_Tax_Pay_Lag)=EOMONTH(BA6,-Corp_Tax_Pay_Lag)),1,0)</f>
        <v>0</v>
      </c>
      <c r="BB8" s="74">
        <f>IF(AND(OFFSET(BB7,0,-Corp_Tax_Pay_Lag)=1,OFFSET(BB6,0,-Corp_Tax_Pay_Lag)=EOMONTH(BB6,-Corp_Tax_Pay_Lag)),1,0)</f>
        <v>0</v>
      </c>
      <c r="BC8" s="74">
        <f>IF(AND(OFFSET(BC7,0,-Corp_Tax_Pay_Lag)=1,OFFSET(BC6,0,-Corp_Tax_Pay_Lag)=EOMONTH(BC6,-Corp_Tax_Pay_Lag)),1,0)</f>
        <v>1</v>
      </c>
      <c r="BD8" s="74">
        <f>IF(AND(OFFSET(BD7,0,-Corp_Tax_Pay_Lag)=1,OFFSET(BD6,0,-Corp_Tax_Pay_Lag)=EOMONTH(BD6,-Corp_Tax_Pay_Lag)),1,0)</f>
        <v>0</v>
      </c>
      <c r="BE8" s="74">
        <f>IF(AND(OFFSET(BE7,0,-Corp_Tax_Pay_Lag)=1,OFFSET(BE6,0,-Corp_Tax_Pay_Lag)=EOMONTH(BE6,-Corp_Tax_Pay_Lag)),1,0)</f>
        <v>0</v>
      </c>
      <c r="BF8" s="74">
        <f>IF(AND(OFFSET(BF7,0,-Corp_Tax_Pay_Lag)=1,OFFSET(BF6,0,-Corp_Tax_Pay_Lag)=EOMONTH(BF6,-Corp_Tax_Pay_Lag)),1,0)</f>
        <v>0</v>
      </c>
      <c r="BG8" s="74">
        <f>IF(AND(OFFSET(BG7,0,-Corp_Tax_Pay_Lag)=1,OFFSET(BG6,0,-Corp_Tax_Pay_Lag)=EOMONTH(BG6,-Corp_Tax_Pay_Lag)),1,0)</f>
        <v>0</v>
      </c>
      <c r="BH8" s="74">
        <f>IF(AND(OFFSET(BH7,0,-Corp_Tax_Pay_Lag)=1,OFFSET(BH6,0,-Corp_Tax_Pay_Lag)=EOMONTH(BH6,-Corp_Tax_Pay_Lag)),1,0)</f>
        <v>0</v>
      </c>
      <c r="BI8" s="74">
        <f>IF(AND(OFFSET(BI7,0,-Corp_Tax_Pay_Lag)=1,OFFSET(BI6,0,-Corp_Tax_Pay_Lag)=EOMONTH(BI6,-Corp_Tax_Pay_Lag)),1,0)</f>
        <v>0</v>
      </c>
      <c r="BJ8" s="74">
        <f>IF(AND(OFFSET(BJ7,0,-Corp_Tax_Pay_Lag)=1,OFFSET(BJ6,0,-Corp_Tax_Pay_Lag)=EOMONTH(BJ6,-Corp_Tax_Pay_Lag)),1,0)</f>
        <v>0</v>
      </c>
      <c r="BK8" s="74">
        <f>IF(AND(OFFSET(BK7,0,-Corp_Tax_Pay_Lag)=1,OFFSET(BK6,0,-Corp_Tax_Pay_Lag)=EOMONTH(BK6,-Corp_Tax_Pay_Lag)),1,0)</f>
        <v>0</v>
      </c>
      <c r="BL8" s="74">
        <f>IF(AND(OFFSET(BL7,0,-Corp_Tax_Pay_Lag)=1,OFFSET(BL6,0,-Corp_Tax_Pay_Lag)=EOMONTH(BL6,-Corp_Tax_Pay_Lag)),1,0)</f>
        <v>0</v>
      </c>
      <c r="BM8" s="74">
        <f>IF(AND(OFFSET(BM7,0,-Corp_Tax_Pay_Lag)=1,OFFSET(BM6,0,-Corp_Tax_Pay_Lag)=EOMONTH(BM6,-Corp_Tax_Pay_Lag)),1,0)</f>
        <v>0</v>
      </c>
      <c r="BN8" s="74">
        <f>IF(AND(OFFSET(BN7,0,-Corp_Tax_Pay_Lag)=1,OFFSET(BN6,0,-Corp_Tax_Pay_Lag)=EOMONTH(BN6,-Corp_Tax_Pay_Lag)),1,0)</f>
        <v>0</v>
      </c>
      <c r="BO8" s="74">
        <f>IF(AND(OFFSET(BO7,0,-Corp_Tax_Pay_Lag)=1,OFFSET(BO6,0,-Corp_Tax_Pay_Lag)=EOMONTH(BO6,-Corp_Tax_Pay_Lag)),1,0)</f>
        <v>1</v>
      </c>
      <c r="BP8" s="74">
        <f>IF(AND(OFFSET(BP7,0,-Corp_Tax_Pay_Lag)=1,OFFSET(BP6,0,-Corp_Tax_Pay_Lag)=EOMONTH(BP6,-Corp_Tax_Pay_Lag)),1,0)</f>
        <v>0</v>
      </c>
      <c r="BQ8" s="74">
        <f>IF(AND(OFFSET(BQ7,0,-Corp_Tax_Pay_Lag)=1,OFFSET(BQ6,0,-Corp_Tax_Pay_Lag)=EOMONTH(BQ6,-Corp_Tax_Pay_Lag)),1,0)</f>
        <v>0</v>
      </c>
      <c r="BR8" s="74">
        <f>IF(AND(OFFSET(BR7,0,-Corp_Tax_Pay_Lag)=1,OFFSET(BR6,0,-Corp_Tax_Pay_Lag)=EOMONTH(BR6,-Corp_Tax_Pay_Lag)),1,0)</f>
        <v>0</v>
      </c>
      <c r="BS8" s="74"/>
    </row>
    <row r="9" ht="15.75" customHeight="1">
      <c r="A9" s="158"/>
      <c r="B9" s="275" t="s">
        <v>284</v>
      </c>
      <c r="C9" s="276"/>
      <c r="D9" s="277"/>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82"/>
    </row>
    <row r="10" ht="15.75" customHeight="1">
      <c r="A10" s="80"/>
      <c r="B10" s="278" t="s">
        <v>153</v>
      </c>
      <c r="C10" s="75"/>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row>
    <row r="11" ht="13.5" customHeight="1">
      <c r="A11" s="80"/>
      <c r="B11" s="278" t="s">
        <v>61</v>
      </c>
      <c r="C11" s="278" t="s">
        <v>136</v>
      </c>
      <c r="D11" s="278" t="s">
        <v>40</v>
      </c>
      <c r="E11" s="85" t="str">
        <f t="shared" ref="E11:I11" si="4">Curr_USD</f>
        <v>$ USD</v>
      </c>
      <c r="F11" s="85" t="str">
        <f t="shared" si="4"/>
        <v>$ USD</v>
      </c>
      <c r="G11" s="85" t="str">
        <f t="shared" si="4"/>
        <v>$ USD</v>
      </c>
      <c r="H11" s="85" t="str">
        <f t="shared" si="4"/>
        <v>$ USD</v>
      </c>
      <c r="I11" s="85" t="str">
        <f t="shared" si="4"/>
        <v>$ USD</v>
      </c>
      <c r="J11" s="92"/>
      <c r="K11" s="85" t="str">
        <f t="shared" ref="K11:BR11" si="5">Curr_USD</f>
        <v>$ USD</v>
      </c>
      <c r="L11" s="85" t="str">
        <f t="shared" si="5"/>
        <v>$ USD</v>
      </c>
      <c r="M11" s="85" t="str">
        <f t="shared" si="5"/>
        <v>$ USD</v>
      </c>
      <c r="N11" s="85" t="str">
        <f t="shared" si="5"/>
        <v>$ USD</v>
      </c>
      <c r="O11" s="85" t="str">
        <f t="shared" si="5"/>
        <v>$ USD</v>
      </c>
      <c r="P11" s="85" t="str">
        <f t="shared" si="5"/>
        <v>$ USD</v>
      </c>
      <c r="Q11" s="85" t="str">
        <f t="shared" si="5"/>
        <v>$ USD</v>
      </c>
      <c r="R11" s="85" t="str">
        <f t="shared" si="5"/>
        <v>$ USD</v>
      </c>
      <c r="S11" s="85" t="str">
        <f t="shared" si="5"/>
        <v>$ USD</v>
      </c>
      <c r="T11" s="85" t="str">
        <f t="shared" si="5"/>
        <v>$ USD</v>
      </c>
      <c r="U11" s="85" t="str">
        <f t="shared" si="5"/>
        <v>$ USD</v>
      </c>
      <c r="V11" s="85" t="str">
        <f t="shared" si="5"/>
        <v>$ USD</v>
      </c>
      <c r="W11" s="85" t="str">
        <f t="shared" si="5"/>
        <v>$ USD</v>
      </c>
      <c r="X11" s="85" t="str">
        <f t="shared" si="5"/>
        <v>$ USD</v>
      </c>
      <c r="Y11" s="85" t="str">
        <f t="shared" si="5"/>
        <v>$ USD</v>
      </c>
      <c r="Z11" s="85" t="str">
        <f t="shared" si="5"/>
        <v>$ USD</v>
      </c>
      <c r="AA11" s="85" t="str">
        <f t="shared" si="5"/>
        <v>$ USD</v>
      </c>
      <c r="AB11" s="85" t="str">
        <f t="shared" si="5"/>
        <v>$ USD</v>
      </c>
      <c r="AC11" s="85" t="str">
        <f t="shared" si="5"/>
        <v>$ USD</v>
      </c>
      <c r="AD11" s="85" t="str">
        <f t="shared" si="5"/>
        <v>$ USD</v>
      </c>
      <c r="AE11" s="85" t="str">
        <f t="shared" si="5"/>
        <v>$ USD</v>
      </c>
      <c r="AF11" s="85" t="str">
        <f t="shared" si="5"/>
        <v>$ USD</v>
      </c>
      <c r="AG11" s="85" t="str">
        <f t="shared" si="5"/>
        <v>$ USD</v>
      </c>
      <c r="AH11" s="85" t="str">
        <f t="shared" si="5"/>
        <v>$ USD</v>
      </c>
      <c r="AI11" s="85" t="str">
        <f t="shared" si="5"/>
        <v>$ USD</v>
      </c>
      <c r="AJ11" s="85" t="str">
        <f t="shared" si="5"/>
        <v>$ USD</v>
      </c>
      <c r="AK11" s="85" t="str">
        <f t="shared" si="5"/>
        <v>$ USD</v>
      </c>
      <c r="AL11" s="85" t="str">
        <f t="shared" si="5"/>
        <v>$ USD</v>
      </c>
      <c r="AM11" s="85" t="str">
        <f t="shared" si="5"/>
        <v>$ USD</v>
      </c>
      <c r="AN11" s="85" t="str">
        <f t="shared" si="5"/>
        <v>$ USD</v>
      </c>
      <c r="AO11" s="85" t="str">
        <f t="shared" si="5"/>
        <v>$ USD</v>
      </c>
      <c r="AP11" s="85" t="str">
        <f t="shared" si="5"/>
        <v>$ USD</v>
      </c>
      <c r="AQ11" s="85" t="str">
        <f t="shared" si="5"/>
        <v>$ USD</v>
      </c>
      <c r="AR11" s="85" t="str">
        <f t="shared" si="5"/>
        <v>$ USD</v>
      </c>
      <c r="AS11" s="85" t="str">
        <f t="shared" si="5"/>
        <v>$ USD</v>
      </c>
      <c r="AT11" s="85" t="str">
        <f t="shared" si="5"/>
        <v>$ USD</v>
      </c>
      <c r="AU11" s="85" t="str">
        <f t="shared" si="5"/>
        <v>$ USD</v>
      </c>
      <c r="AV11" s="85" t="str">
        <f t="shared" si="5"/>
        <v>$ USD</v>
      </c>
      <c r="AW11" s="85" t="str">
        <f t="shared" si="5"/>
        <v>$ USD</v>
      </c>
      <c r="AX11" s="85" t="str">
        <f t="shared" si="5"/>
        <v>$ USD</v>
      </c>
      <c r="AY11" s="85" t="str">
        <f t="shared" si="5"/>
        <v>$ USD</v>
      </c>
      <c r="AZ11" s="85" t="str">
        <f t="shared" si="5"/>
        <v>$ USD</v>
      </c>
      <c r="BA11" s="85" t="str">
        <f t="shared" si="5"/>
        <v>$ USD</v>
      </c>
      <c r="BB11" s="85" t="str">
        <f t="shared" si="5"/>
        <v>$ USD</v>
      </c>
      <c r="BC11" s="85" t="str">
        <f t="shared" si="5"/>
        <v>$ USD</v>
      </c>
      <c r="BD11" s="85" t="str">
        <f t="shared" si="5"/>
        <v>$ USD</v>
      </c>
      <c r="BE11" s="85" t="str">
        <f t="shared" si="5"/>
        <v>$ USD</v>
      </c>
      <c r="BF11" s="85" t="str">
        <f t="shared" si="5"/>
        <v>$ USD</v>
      </c>
      <c r="BG11" s="85" t="str">
        <f t="shared" si="5"/>
        <v>$ USD</v>
      </c>
      <c r="BH11" s="85" t="str">
        <f t="shared" si="5"/>
        <v>$ USD</v>
      </c>
      <c r="BI11" s="85" t="str">
        <f t="shared" si="5"/>
        <v>$ USD</v>
      </c>
      <c r="BJ11" s="85" t="str">
        <f t="shared" si="5"/>
        <v>$ USD</v>
      </c>
      <c r="BK11" s="85" t="str">
        <f t="shared" si="5"/>
        <v>$ USD</v>
      </c>
      <c r="BL11" s="85" t="str">
        <f t="shared" si="5"/>
        <v>$ USD</v>
      </c>
      <c r="BM11" s="85" t="str">
        <f t="shared" si="5"/>
        <v>$ USD</v>
      </c>
      <c r="BN11" s="85" t="str">
        <f t="shared" si="5"/>
        <v>$ USD</v>
      </c>
      <c r="BO11" s="85" t="str">
        <f t="shared" si="5"/>
        <v>$ USD</v>
      </c>
      <c r="BP11" s="85" t="str">
        <f t="shared" si="5"/>
        <v>$ USD</v>
      </c>
      <c r="BQ11" s="85" t="str">
        <f t="shared" si="5"/>
        <v>$ USD</v>
      </c>
      <c r="BR11" s="85" t="str">
        <f t="shared" si="5"/>
        <v>$ USD</v>
      </c>
      <c r="BS11" s="82"/>
    </row>
    <row r="12" ht="15.75" customHeight="1">
      <c r="A12" s="80"/>
      <c r="B12" s="278" t="s">
        <v>46</v>
      </c>
      <c r="C12" s="278" t="s">
        <v>99</v>
      </c>
      <c r="D12" s="278" t="s">
        <v>285</v>
      </c>
      <c r="E12" s="279" t="str">
        <f>'Input Assumptions'!E19</f>
        <v>Year 1</v>
      </c>
      <c r="F12" s="279" t="str">
        <f>'Input Assumptions'!F19</f>
        <v>Year 2</v>
      </c>
      <c r="G12" s="279" t="str">
        <f>'Input Assumptions'!G19</f>
        <v>Year 3</v>
      </c>
      <c r="H12" s="279" t="str">
        <f>'Input Assumptions'!H19</f>
        <v>Year 4</v>
      </c>
      <c r="I12" s="279" t="str">
        <f>'Input Assumptions'!I19</f>
        <v>Year 5</v>
      </c>
      <c r="J12" s="92"/>
      <c r="K12" s="279">
        <f t="shared" ref="K12:BR12" si="6">YEAR(K$13)</f>
        <v>2024</v>
      </c>
      <c r="L12" s="279">
        <f t="shared" si="6"/>
        <v>2024</v>
      </c>
      <c r="M12" s="279">
        <f t="shared" si="6"/>
        <v>2024</v>
      </c>
      <c r="N12" s="279">
        <f t="shared" si="6"/>
        <v>2024</v>
      </c>
      <c r="O12" s="279">
        <f t="shared" si="6"/>
        <v>2024</v>
      </c>
      <c r="P12" s="279">
        <f t="shared" si="6"/>
        <v>2025</v>
      </c>
      <c r="Q12" s="279">
        <f t="shared" si="6"/>
        <v>2025</v>
      </c>
      <c r="R12" s="279">
        <f t="shared" si="6"/>
        <v>2025</v>
      </c>
      <c r="S12" s="279">
        <f t="shared" si="6"/>
        <v>2025</v>
      </c>
      <c r="T12" s="279">
        <f t="shared" si="6"/>
        <v>2025</v>
      </c>
      <c r="U12" s="279">
        <f t="shared" si="6"/>
        <v>2025</v>
      </c>
      <c r="V12" s="279">
        <f t="shared" si="6"/>
        <v>2025</v>
      </c>
      <c r="W12" s="279">
        <f t="shared" si="6"/>
        <v>2025</v>
      </c>
      <c r="X12" s="279">
        <f t="shared" si="6"/>
        <v>2025</v>
      </c>
      <c r="Y12" s="279">
        <f t="shared" si="6"/>
        <v>2025</v>
      </c>
      <c r="Z12" s="279">
        <f t="shared" si="6"/>
        <v>2025</v>
      </c>
      <c r="AA12" s="279">
        <f t="shared" si="6"/>
        <v>2025</v>
      </c>
      <c r="AB12" s="279">
        <f t="shared" si="6"/>
        <v>2026</v>
      </c>
      <c r="AC12" s="279">
        <f t="shared" si="6"/>
        <v>2026</v>
      </c>
      <c r="AD12" s="279">
        <f t="shared" si="6"/>
        <v>2026</v>
      </c>
      <c r="AE12" s="279">
        <f t="shared" si="6"/>
        <v>2026</v>
      </c>
      <c r="AF12" s="279">
        <f t="shared" si="6"/>
        <v>2026</v>
      </c>
      <c r="AG12" s="279">
        <f t="shared" si="6"/>
        <v>2026</v>
      </c>
      <c r="AH12" s="279">
        <f t="shared" si="6"/>
        <v>2026</v>
      </c>
      <c r="AI12" s="279">
        <f t="shared" si="6"/>
        <v>2026</v>
      </c>
      <c r="AJ12" s="279">
        <f t="shared" si="6"/>
        <v>2026</v>
      </c>
      <c r="AK12" s="279">
        <f t="shared" si="6"/>
        <v>2026</v>
      </c>
      <c r="AL12" s="279">
        <f t="shared" si="6"/>
        <v>2026</v>
      </c>
      <c r="AM12" s="279">
        <f t="shared" si="6"/>
        <v>2026</v>
      </c>
      <c r="AN12" s="279">
        <f t="shared" si="6"/>
        <v>2027</v>
      </c>
      <c r="AO12" s="279">
        <f t="shared" si="6"/>
        <v>2027</v>
      </c>
      <c r="AP12" s="279">
        <f t="shared" si="6"/>
        <v>2027</v>
      </c>
      <c r="AQ12" s="279">
        <f t="shared" si="6"/>
        <v>2027</v>
      </c>
      <c r="AR12" s="279">
        <f t="shared" si="6"/>
        <v>2027</v>
      </c>
      <c r="AS12" s="279">
        <f t="shared" si="6"/>
        <v>2027</v>
      </c>
      <c r="AT12" s="279">
        <f t="shared" si="6"/>
        <v>2027</v>
      </c>
      <c r="AU12" s="279">
        <f t="shared" si="6"/>
        <v>2027</v>
      </c>
      <c r="AV12" s="279">
        <f t="shared" si="6"/>
        <v>2027</v>
      </c>
      <c r="AW12" s="279">
        <f t="shared" si="6"/>
        <v>2027</v>
      </c>
      <c r="AX12" s="279">
        <f t="shared" si="6"/>
        <v>2027</v>
      </c>
      <c r="AY12" s="279">
        <f t="shared" si="6"/>
        <v>2027</v>
      </c>
      <c r="AZ12" s="279">
        <f t="shared" si="6"/>
        <v>2028</v>
      </c>
      <c r="BA12" s="279">
        <f t="shared" si="6"/>
        <v>2028</v>
      </c>
      <c r="BB12" s="279">
        <f t="shared" si="6"/>
        <v>2028</v>
      </c>
      <c r="BC12" s="279">
        <f t="shared" si="6"/>
        <v>2028</v>
      </c>
      <c r="BD12" s="279">
        <f t="shared" si="6"/>
        <v>2028</v>
      </c>
      <c r="BE12" s="279">
        <f t="shared" si="6"/>
        <v>2028</v>
      </c>
      <c r="BF12" s="279">
        <f t="shared" si="6"/>
        <v>2028</v>
      </c>
      <c r="BG12" s="279">
        <f t="shared" si="6"/>
        <v>2028</v>
      </c>
      <c r="BH12" s="279">
        <f t="shared" si="6"/>
        <v>2028</v>
      </c>
      <c r="BI12" s="279">
        <f t="shared" si="6"/>
        <v>2028</v>
      </c>
      <c r="BJ12" s="279">
        <f t="shared" si="6"/>
        <v>2028</v>
      </c>
      <c r="BK12" s="279">
        <f t="shared" si="6"/>
        <v>2028</v>
      </c>
      <c r="BL12" s="279">
        <f t="shared" si="6"/>
        <v>2029</v>
      </c>
      <c r="BM12" s="279">
        <f t="shared" si="6"/>
        <v>2029</v>
      </c>
      <c r="BN12" s="279">
        <f t="shared" si="6"/>
        <v>2029</v>
      </c>
      <c r="BO12" s="279">
        <f t="shared" si="6"/>
        <v>2029</v>
      </c>
      <c r="BP12" s="279">
        <f t="shared" si="6"/>
        <v>2029</v>
      </c>
      <c r="BQ12" s="279">
        <f t="shared" si="6"/>
        <v>2029</v>
      </c>
      <c r="BR12" s="279">
        <f t="shared" si="6"/>
        <v>2029</v>
      </c>
      <c r="BS12" s="82"/>
    </row>
    <row r="13" ht="15.75" customHeight="1">
      <c r="A13" s="80"/>
      <c r="B13" s="278" t="s">
        <v>286</v>
      </c>
      <c r="C13" s="278" t="s">
        <v>287</v>
      </c>
      <c r="D13" s="278" t="s">
        <v>69</v>
      </c>
      <c r="E13" s="280" t="str">
        <f>'Input Assumptions'!E17</f>
        <v>2024-2025</v>
      </c>
      <c r="F13" s="280" t="str">
        <f>'Input Assumptions'!F17</f>
        <v>2025-2026</v>
      </c>
      <c r="G13" s="280" t="str">
        <f>'Input Assumptions'!G17</f>
        <v>2026-2027</v>
      </c>
      <c r="H13" s="280" t="str">
        <f>'Input Assumptions'!H17</f>
        <v>2027-2028</v>
      </c>
      <c r="I13" s="280" t="str">
        <f>'Input Assumptions'!I17</f>
        <v>2028-2029</v>
      </c>
      <c r="J13" s="92"/>
      <c r="K13" s="169">
        <f>EOMONTH(Start_Date,-1)+1</f>
        <v>45505</v>
      </c>
      <c r="L13" s="169">
        <f t="shared" ref="L13:BR13" si="7">EOMONTH(K13,0)+1</f>
        <v>45536</v>
      </c>
      <c r="M13" s="169">
        <f t="shared" si="7"/>
        <v>45566</v>
      </c>
      <c r="N13" s="169">
        <f t="shared" si="7"/>
        <v>45597</v>
      </c>
      <c r="O13" s="169">
        <f t="shared" si="7"/>
        <v>45627</v>
      </c>
      <c r="P13" s="169">
        <f t="shared" si="7"/>
        <v>45658</v>
      </c>
      <c r="Q13" s="169">
        <f t="shared" si="7"/>
        <v>45689</v>
      </c>
      <c r="R13" s="169">
        <f t="shared" si="7"/>
        <v>45717</v>
      </c>
      <c r="S13" s="169">
        <f t="shared" si="7"/>
        <v>45748</v>
      </c>
      <c r="T13" s="169">
        <f t="shared" si="7"/>
        <v>45778</v>
      </c>
      <c r="U13" s="169">
        <f t="shared" si="7"/>
        <v>45809</v>
      </c>
      <c r="V13" s="169">
        <f t="shared" si="7"/>
        <v>45839</v>
      </c>
      <c r="W13" s="169">
        <f t="shared" si="7"/>
        <v>45870</v>
      </c>
      <c r="X13" s="169">
        <f t="shared" si="7"/>
        <v>45901</v>
      </c>
      <c r="Y13" s="169">
        <f t="shared" si="7"/>
        <v>45931</v>
      </c>
      <c r="Z13" s="169">
        <f t="shared" si="7"/>
        <v>45962</v>
      </c>
      <c r="AA13" s="169">
        <f t="shared" si="7"/>
        <v>45992</v>
      </c>
      <c r="AB13" s="169">
        <f t="shared" si="7"/>
        <v>46023</v>
      </c>
      <c r="AC13" s="169">
        <f t="shared" si="7"/>
        <v>46054</v>
      </c>
      <c r="AD13" s="169">
        <f t="shared" si="7"/>
        <v>46082</v>
      </c>
      <c r="AE13" s="169">
        <f t="shared" si="7"/>
        <v>46113</v>
      </c>
      <c r="AF13" s="169">
        <f t="shared" si="7"/>
        <v>46143</v>
      </c>
      <c r="AG13" s="169">
        <f t="shared" si="7"/>
        <v>46174</v>
      </c>
      <c r="AH13" s="169">
        <f t="shared" si="7"/>
        <v>46204</v>
      </c>
      <c r="AI13" s="169">
        <f t="shared" si="7"/>
        <v>46235</v>
      </c>
      <c r="AJ13" s="169">
        <f t="shared" si="7"/>
        <v>46266</v>
      </c>
      <c r="AK13" s="169">
        <f t="shared" si="7"/>
        <v>46296</v>
      </c>
      <c r="AL13" s="169">
        <f t="shared" si="7"/>
        <v>46327</v>
      </c>
      <c r="AM13" s="169">
        <f t="shared" si="7"/>
        <v>46357</v>
      </c>
      <c r="AN13" s="169">
        <f t="shared" si="7"/>
        <v>46388</v>
      </c>
      <c r="AO13" s="169">
        <f t="shared" si="7"/>
        <v>46419</v>
      </c>
      <c r="AP13" s="169">
        <f t="shared" si="7"/>
        <v>46447</v>
      </c>
      <c r="AQ13" s="169">
        <f t="shared" si="7"/>
        <v>46478</v>
      </c>
      <c r="AR13" s="169">
        <f t="shared" si="7"/>
        <v>46508</v>
      </c>
      <c r="AS13" s="169">
        <f t="shared" si="7"/>
        <v>46539</v>
      </c>
      <c r="AT13" s="169">
        <f t="shared" si="7"/>
        <v>46569</v>
      </c>
      <c r="AU13" s="169">
        <f t="shared" si="7"/>
        <v>46600</v>
      </c>
      <c r="AV13" s="169">
        <f t="shared" si="7"/>
        <v>46631</v>
      </c>
      <c r="AW13" s="169">
        <f t="shared" si="7"/>
        <v>46661</v>
      </c>
      <c r="AX13" s="169">
        <f t="shared" si="7"/>
        <v>46692</v>
      </c>
      <c r="AY13" s="169">
        <f t="shared" si="7"/>
        <v>46722</v>
      </c>
      <c r="AZ13" s="169">
        <f t="shared" si="7"/>
        <v>46753</v>
      </c>
      <c r="BA13" s="169">
        <f t="shared" si="7"/>
        <v>46784</v>
      </c>
      <c r="BB13" s="169">
        <f t="shared" si="7"/>
        <v>46813</v>
      </c>
      <c r="BC13" s="169">
        <f t="shared" si="7"/>
        <v>46844</v>
      </c>
      <c r="BD13" s="169">
        <f t="shared" si="7"/>
        <v>46874</v>
      </c>
      <c r="BE13" s="169">
        <f t="shared" si="7"/>
        <v>46905</v>
      </c>
      <c r="BF13" s="169">
        <f t="shared" si="7"/>
        <v>46935</v>
      </c>
      <c r="BG13" s="169">
        <f t="shared" si="7"/>
        <v>46966</v>
      </c>
      <c r="BH13" s="169">
        <f t="shared" si="7"/>
        <v>46997</v>
      </c>
      <c r="BI13" s="169">
        <f t="shared" si="7"/>
        <v>47027</v>
      </c>
      <c r="BJ13" s="169">
        <f t="shared" si="7"/>
        <v>47058</v>
      </c>
      <c r="BK13" s="169">
        <f t="shared" si="7"/>
        <v>47088</v>
      </c>
      <c r="BL13" s="169">
        <f t="shared" si="7"/>
        <v>47119</v>
      </c>
      <c r="BM13" s="169">
        <f t="shared" si="7"/>
        <v>47150</v>
      </c>
      <c r="BN13" s="169">
        <f t="shared" si="7"/>
        <v>47178</v>
      </c>
      <c r="BO13" s="169">
        <f t="shared" si="7"/>
        <v>47209</v>
      </c>
      <c r="BP13" s="169">
        <f t="shared" si="7"/>
        <v>47239</v>
      </c>
      <c r="BQ13" s="169">
        <f t="shared" si="7"/>
        <v>47270</v>
      </c>
      <c r="BR13" s="169">
        <f t="shared" si="7"/>
        <v>47300</v>
      </c>
      <c r="BS13" s="281"/>
    </row>
    <row r="14" ht="15.75" customHeight="1">
      <c r="A14" s="80"/>
      <c r="B14" s="275"/>
      <c r="C14" s="81"/>
      <c r="D14" s="82"/>
      <c r="E14" s="82"/>
      <c r="F14" s="82"/>
      <c r="G14" s="82"/>
      <c r="H14" s="82"/>
      <c r="I14" s="82"/>
      <c r="J14" s="92"/>
      <c r="K14" s="82"/>
      <c r="L14" s="82"/>
      <c r="M14" s="82"/>
      <c r="N14" s="82"/>
      <c r="O14" s="61"/>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row>
    <row r="15" ht="15.75" customHeight="1">
      <c r="A15" s="80"/>
      <c r="B15" s="136" t="s">
        <v>153</v>
      </c>
      <c r="C15" s="105"/>
      <c r="D15" s="105"/>
      <c r="E15" s="105"/>
      <c r="F15" s="105"/>
      <c r="G15" s="105"/>
      <c r="H15" s="105"/>
      <c r="I15" s="105"/>
      <c r="J15" s="92"/>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5"/>
      <c r="BS15" s="282"/>
    </row>
    <row r="16" ht="7.5" customHeight="1">
      <c r="A16" s="80"/>
      <c r="B16" s="92"/>
      <c r="C16" s="81"/>
      <c r="D16" s="82"/>
      <c r="E16" s="82"/>
      <c r="F16" s="82"/>
      <c r="G16" s="82"/>
      <c r="H16" s="82"/>
      <c r="I16" s="82"/>
      <c r="J16" s="9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row>
    <row r="17" ht="15.75" customHeight="1">
      <c r="A17" s="91"/>
      <c r="B17" s="126" t="s">
        <v>288</v>
      </c>
      <c r="C17" s="283"/>
      <c r="D17" s="284"/>
      <c r="E17" s="284"/>
      <c r="F17" s="284"/>
      <c r="G17" s="284"/>
      <c r="H17" s="284"/>
      <c r="I17" s="284"/>
      <c r="J17" s="92"/>
      <c r="K17" s="285" t="str">
        <f>IF(K$13&lt;EOMONTH(Start_Date,AUV_Reached-1)+1,Ramp_up_to_AUV_Nm,Growth_Rate_Nm)</f>
        <v>Ramp up to AUV</v>
      </c>
      <c r="L17" s="285" t="str">
        <f>IF(L$13&lt;EOMONTH(Start_Date,AUV_Reached-1)+1,Ramp_up_to_AUV_Nm,Growth_Rate_Nm)</f>
        <v>Ramp up to AUV</v>
      </c>
      <c r="M17" s="285" t="str">
        <f>IF(M$13&lt;EOMONTH(Start_Date,AUV_Reached-1)+1,Ramp_up_to_AUV_Nm,Growth_Rate_Nm)</f>
        <v>Ramp up to AUV</v>
      </c>
      <c r="N17" s="285" t="str">
        <f>IF(N$13&lt;EOMONTH(Start_Date,AUV_Reached-1)+1,Ramp_up_to_AUV_Nm,Growth_Rate_Nm)</f>
        <v>Ramp up to AUV</v>
      </c>
      <c r="O17" s="285" t="str">
        <f>IF(O$13&lt;EOMONTH(Start_Date,AUV_Reached-1)+1,Ramp_up_to_AUV_Nm,Growth_Rate_Nm)</f>
        <v>Ramp up to AUV</v>
      </c>
      <c r="P17" s="285" t="str">
        <f>IF(P$13&lt;EOMONTH(Start_Date,AUV_Reached-1)+1,Ramp_up_to_AUV_Nm,Growth_Rate_Nm)</f>
        <v>Ramp up to AUV</v>
      </c>
      <c r="Q17" s="285" t="str">
        <f>IF(Q$13&lt;EOMONTH(Start_Date,AUV_Reached-1)+1,Ramp_up_to_AUV_Nm,Growth_Rate_Nm)</f>
        <v>Ramp up to AUV</v>
      </c>
      <c r="R17" s="285" t="str">
        <f>IF(R$13&lt;EOMONTH(Start_Date,AUV_Reached-1)+1,Ramp_up_to_AUV_Nm,Growth_Rate_Nm)</f>
        <v>Ramp up to AUV</v>
      </c>
      <c r="S17" s="285" t="str">
        <f>IF(S$13&lt;EOMONTH(Start_Date,AUV_Reached-1)+1,Ramp_up_to_AUV_Nm,Growth_Rate_Nm)</f>
        <v>Ramp up to AUV</v>
      </c>
      <c r="T17" s="285" t="str">
        <f>IF(T$13&lt;EOMONTH(Start_Date,AUV_Reached-1)+1,Ramp_up_to_AUV_Nm,Growth_Rate_Nm)</f>
        <v>Ramp up to AUV</v>
      </c>
      <c r="U17" s="285" t="str">
        <f>IF(U$13&lt;EOMONTH(Start_Date,AUV_Reached-1)+1,Ramp_up_to_AUV_Nm,Growth_Rate_Nm)</f>
        <v>Ramp up to AUV</v>
      </c>
      <c r="V17" s="285" t="str">
        <f>IF(V$13&lt;EOMONTH(Start_Date,AUV_Reached-1)+1,Ramp_up_to_AUV_Nm,Growth_Rate_Nm)</f>
        <v>Ramp up to AUV</v>
      </c>
      <c r="W17" s="285" t="str">
        <f>IF(W$13&lt;EOMONTH(Start_Date,AUV_Reached-1)+1,Ramp_up_to_AUV_Nm,Growth_Rate_Nm)</f>
        <v>Ramp up to AUV</v>
      </c>
      <c r="X17" s="285" t="str">
        <f>IF(X$13&lt;EOMONTH(Start_Date,AUV_Reached-1)+1,Ramp_up_to_AUV_Nm,Growth_Rate_Nm)</f>
        <v>Ramp up to AUV</v>
      </c>
      <c r="Y17" s="285" t="str">
        <f>IF(Y$13&lt;EOMONTH(Start_Date,AUV_Reached-1)+1,Ramp_up_to_AUV_Nm,Growth_Rate_Nm)</f>
        <v>Ramp up to AUV</v>
      </c>
      <c r="Z17" s="285" t="str">
        <f>IF(Z$13&lt;EOMONTH(Start_Date,AUV_Reached-1)+1,Ramp_up_to_AUV_Nm,Growth_Rate_Nm)</f>
        <v>Ramp up to AUV</v>
      </c>
      <c r="AA17" s="285" t="str">
        <f>IF(AA$13&lt;EOMONTH(Start_Date,AUV_Reached-1)+1,Ramp_up_to_AUV_Nm,Growth_Rate_Nm)</f>
        <v>Ramp up to AUV</v>
      </c>
      <c r="AB17" s="285" t="str">
        <f>IF(AB$13&lt;EOMONTH(Start_Date,AUV_Reached-1)+1,Ramp_up_to_AUV_Nm,Growth_Rate_Nm)</f>
        <v>Ramp up to AUV</v>
      </c>
      <c r="AC17" s="285" t="str">
        <f>IF(AC$13&lt;EOMONTH(Start_Date,AUV_Reached-1)+1,Ramp_up_to_AUV_Nm,Growth_Rate_Nm)</f>
        <v>Growth Rate</v>
      </c>
      <c r="AD17" s="285" t="str">
        <f>IF(AD$13&lt;EOMONTH(Start_Date,AUV_Reached-1)+1,Ramp_up_to_AUV_Nm,Growth_Rate_Nm)</f>
        <v>Growth Rate</v>
      </c>
      <c r="AE17" s="285" t="str">
        <f>IF(AE$13&lt;EOMONTH(Start_Date,AUV_Reached-1)+1,Ramp_up_to_AUV_Nm,Growth_Rate_Nm)</f>
        <v>Growth Rate</v>
      </c>
      <c r="AF17" s="285" t="str">
        <f>IF(AF$13&lt;EOMONTH(Start_Date,AUV_Reached-1)+1,Ramp_up_to_AUV_Nm,Growth_Rate_Nm)</f>
        <v>Growth Rate</v>
      </c>
      <c r="AG17" s="285" t="str">
        <f>IF(AG$13&lt;EOMONTH(Start_Date,AUV_Reached-1)+1,Ramp_up_to_AUV_Nm,Growth_Rate_Nm)</f>
        <v>Growth Rate</v>
      </c>
      <c r="AH17" s="285" t="str">
        <f>IF(AH$13&lt;EOMONTH(Start_Date,AUV_Reached-1)+1,Ramp_up_to_AUV_Nm,Growth_Rate_Nm)</f>
        <v>Growth Rate</v>
      </c>
      <c r="AI17" s="285" t="str">
        <f>IF(AI$13&lt;EOMONTH(Start_Date,AUV_Reached-1)+1,Ramp_up_to_AUV_Nm,Growth_Rate_Nm)</f>
        <v>Growth Rate</v>
      </c>
      <c r="AJ17" s="285" t="str">
        <f>IF(AJ$13&lt;EOMONTH(Start_Date,AUV_Reached-1)+1,Ramp_up_to_AUV_Nm,Growth_Rate_Nm)</f>
        <v>Growth Rate</v>
      </c>
      <c r="AK17" s="285" t="str">
        <f>IF(AK$13&lt;EOMONTH(Start_Date,AUV_Reached-1)+1,Ramp_up_to_AUV_Nm,Growth_Rate_Nm)</f>
        <v>Growth Rate</v>
      </c>
      <c r="AL17" s="285" t="str">
        <f>IF(AL$13&lt;EOMONTH(Start_Date,AUV_Reached-1)+1,Ramp_up_to_AUV_Nm,Growth_Rate_Nm)</f>
        <v>Growth Rate</v>
      </c>
      <c r="AM17" s="285" t="str">
        <f>IF(AM$13&lt;EOMONTH(Start_Date,AUV_Reached-1)+1,Ramp_up_to_AUV_Nm,Growth_Rate_Nm)</f>
        <v>Growth Rate</v>
      </c>
      <c r="AN17" s="285" t="str">
        <f>IF(AN$13&lt;EOMONTH(Start_Date,AUV_Reached-1)+1,Ramp_up_to_AUV_Nm,Growth_Rate_Nm)</f>
        <v>Growth Rate</v>
      </c>
      <c r="AO17" s="285" t="str">
        <f>IF(AO$13&lt;EOMONTH(Start_Date,AUV_Reached-1)+1,Ramp_up_to_AUV_Nm,Growth_Rate_Nm)</f>
        <v>Growth Rate</v>
      </c>
      <c r="AP17" s="285" t="str">
        <f>IF(AP$13&lt;EOMONTH(Start_Date,AUV_Reached-1)+1,Ramp_up_to_AUV_Nm,Growth_Rate_Nm)</f>
        <v>Growth Rate</v>
      </c>
      <c r="AQ17" s="285" t="str">
        <f>IF(AQ$13&lt;EOMONTH(Start_Date,AUV_Reached-1)+1,Ramp_up_to_AUV_Nm,Growth_Rate_Nm)</f>
        <v>Growth Rate</v>
      </c>
      <c r="AR17" s="285" t="str">
        <f>IF(AR$13&lt;EOMONTH(Start_Date,AUV_Reached-1)+1,Ramp_up_to_AUV_Nm,Growth_Rate_Nm)</f>
        <v>Growth Rate</v>
      </c>
      <c r="AS17" s="285" t="str">
        <f>IF(AS$13&lt;EOMONTH(Start_Date,AUV_Reached-1)+1,Ramp_up_to_AUV_Nm,Growth_Rate_Nm)</f>
        <v>Growth Rate</v>
      </c>
      <c r="AT17" s="285" t="str">
        <f>IF(AT$13&lt;EOMONTH(Start_Date,AUV_Reached-1)+1,Ramp_up_to_AUV_Nm,Growth_Rate_Nm)</f>
        <v>Growth Rate</v>
      </c>
      <c r="AU17" s="285" t="str">
        <f>IF(AU$13&lt;EOMONTH(Start_Date,AUV_Reached-1)+1,Ramp_up_to_AUV_Nm,Growth_Rate_Nm)</f>
        <v>Growth Rate</v>
      </c>
      <c r="AV17" s="285" t="str">
        <f>IF(AV$13&lt;EOMONTH(Start_Date,AUV_Reached-1)+1,Ramp_up_to_AUV_Nm,Growth_Rate_Nm)</f>
        <v>Growth Rate</v>
      </c>
      <c r="AW17" s="285" t="str">
        <f>IF(AW$13&lt;EOMONTH(Start_Date,AUV_Reached-1)+1,Ramp_up_to_AUV_Nm,Growth_Rate_Nm)</f>
        <v>Growth Rate</v>
      </c>
      <c r="AX17" s="285" t="str">
        <f>IF(AX$13&lt;EOMONTH(Start_Date,AUV_Reached-1)+1,Ramp_up_to_AUV_Nm,Growth_Rate_Nm)</f>
        <v>Growth Rate</v>
      </c>
      <c r="AY17" s="285" t="str">
        <f>IF(AY$13&lt;EOMONTH(Start_Date,AUV_Reached-1)+1,Ramp_up_to_AUV_Nm,Growth_Rate_Nm)</f>
        <v>Growth Rate</v>
      </c>
      <c r="AZ17" s="285" t="str">
        <f>IF(AZ$13&lt;EOMONTH(Start_Date,AUV_Reached-1)+1,Ramp_up_to_AUV_Nm,Growth_Rate_Nm)</f>
        <v>Growth Rate</v>
      </c>
      <c r="BA17" s="285" t="str">
        <f>IF(BA$13&lt;EOMONTH(Start_Date,AUV_Reached-1)+1,Ramp_up_to_AUV_Nm,Growth_Rate_Nm)</f>
        <v>Growth Rate</v>
      </c>
      <c r="BB17" s="285" t="str">
        <f>IF(BB$13&lt;EOMONTH(Start_Date,AUV_Reached-1)+1,Ramp_up_to_AUV_Nm,Growth_Rate_Nm)</f>
        <v>Growth Rate</v>
      </c>
      <c r="BC17" s="285" t="str">
        <f>IF(BC$13&lt;EOMONTH(Start_Date,AUV_Reached-1)+1,Ramp_up_to_AUV_Nm,Growth_Rate_Nm)</f>
        <v>Growth Rate</v>
      </c>
      <c r="BD17" s="285" t="str">
        <f>IF(BD$13&lt;EOMONTH(Start_Date,AUV_Reached-1)+1,Ramp_up_to_AUV_Nm,Growth_Rate_Nm)</f>
        <v>Growth Rate</v>
      </c>
      <c r="BE17" s="285" t="str">
        <f>IF(BE$13&lt;EOMONTH(Start_Date,AUV_Reached-1)+1,Ramp_up_to_AUV_Nm,Growth_Rate_Nm)</f>
        <v>Growth Rate</v>
      </c>
      <c r="BF17" s="285" t="str">
        <f>IF(BF$13&lt;EOMONTH(Start_Date,AUV_Reached-1)+1,Ramp_up_to_AUV_Nm,Growth_Rate_Nm)</f>
        <v>Growth Rate</v>
      </c>
      <c r="BG17" s="285" t="str">
        <f>IF(BG$13&lt;EOMONTH(Start_Date,AUV_Reached-1)+1,Ramp_up_to_AUV_Nm,Growth_Rate_Nm)</f>
        <v>Growth Rate</v>
      </c>
      <c r="BH17" s="285" t="str">
        <f>IF(BH$13&lt;EOMONTH(Start_Date,AUV_Reached-1)+1,Ramp_up_to_AUV_Nm,Growth_Rate_Nm)</f>
        <v>Growth Rate</v>
      </c>
      <c r="BI17" s="285" t="str">
        <f>IF(BI$13&lt;EOMONTH(Start_Date,AUV_Reached-1)+1,Ramp_up_to_AUV_Nm,Growth_Rate_Nm)</f>
        <v>Growth Rate</v>
      </c>
      <c r="BJ17" s="285" t="str">
        <f>IF(BJ$13&lt;EOMONTH(Start_Date,AUV_Reached-1)+1,Ramp_up_to_AUV_Nm,Growth_Rate_Nm)</f>
        <v>Growth Rate</v>
      </c>
      <c r="BK17" s="285" t="str">
        <f>IF(BK$13&lt;EOMONTH(Start_Date,AUV_Reached-1)+1,Ramp_up_to_AUV_Nm,Growth_Rate_Nm)</f>
        <v>Growth Rate</v>
      </c>
      <c r="BL17" s="285" t="str">
        <f>IF(BL$13&lt;EOMONTH(Start_Date,AUV_Reached-1)+1,Ramp_up_to_AUV_Nm,Growth_Rate_Nm)</f>
        <v>Growth Rate</v>
      </c>
      <c r="BM17" s="285" t="str">
        <f>IF(BM$13&lt;EOMONTH(Start_Date,AUV_Reached-1)+1,Ramp_up_to_AUV_Nm,Growth_Rate_Nm)</f>
        <v>Growth Rate</v>
      </c>
      <c r="BN17" s="285" t="str">
        <f>IF(BN$13&lt;EOMONTH(Start_Date,AUV_Reached-1)+1,Ramp_up_to_AUV_Nm,Growth_Rate_Nm)</f>
        <v>Growth Rate</v>
      </c>
      <c r="BO17" s="285" t="str">
        <f>IF(BO$13&lt;EOMONTH(Start_Date,AUV_Reached-1)+1,Ramp_up_to_AUV_Nm,Growth_Rate_Nm)</f>
        <v>Growth Rate</v>
      </c>
      <c r="BP17" s="285" t="str">
        <f>IF(BP$13&lt;EOMONTH(Start_Date,AUV_Reached-1)+1,Ramp_up_to_AUV_Nm,Growth_Rate_Nm)</f>
        <v>Growth Rate</v>
      </c>
      <c r="BQ17" s="285" t="str">
        <f>IF(BQ$13&lt;EOMONTH(Start_Date,AUV_Reached-1)+1,Ramp_up_to_AUV_Nm,Growth_Rate_Nm)</f>
        <v>Growth Rate</v>
      </c>
      <c r="BR17" s="285" t="str">
        <f>IF(BR$13&lt;EOMONTH(Start_Date,AUV_Reached-1)+1,Ramp_up_to_AUV_Nm,Growth_Rate_Nm)</f>
        <v>Growth Rate</v>
      </c>
      <c r="BS17" s="284"/>
    </row>
    <row r="18" ht="7.5" customHeight="1">
      <c r="A18" s="80"/>
      <c r="B18" s="75"/>
      <c r="C18" s="81"/>
      <c r="D18" s="82"/>
      <c r="E18" s="82"/>
      <c r="F18" s="82"/>
      <c r="G18" s="82"/>
      <c r="H18" s="82"/>
      <c r="I18" s="82"/>
      <c r="J18" s="92"/>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c r="BL18" s="286"/>
      <c r="BM18" s="286"/>
      <c r="BN18" s="286"/>
      <c r="BO18" s="286"/>
      <c r="BP18" s="286"/>
      <c r="BQ18" s="286"/>
      <c r="BR18" s="286"/>
      <c r="BS18" s="82"/>
    </row>
    <row r="19" ht="15.75" customHeight="1">
      <c r="A19" s="80"/>
      <c r="B19" s="287" t="s">
        <v>289</v>
      </c>
      <c r="C19" s="288"/>
      <c r="D19" s="288"/>
      <c r="E19" s="288"/>
      <c r="F19" s="288"/>
      <c r="G19" s="288"/>
      <c r="H19" s="288"/>
      <c r="I19" s="288"/>
      <c r="J19" s="92"/>
      <c r="K19" s="288"/>
      <c r="L19" s="288"/>
      <c r="M19" s="288"/>
      <c r="N19" s="288"/>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2"/>
    </row>
    <row r="20" ht="7.5" customHeight="1">
      <c r="A20" s="80"/>
      <c r="B20" s="75"/>
      <c r="C20" s="81"/>
      <c r="D20" s="82"/>
      <c r="E20" s="82"/>
      <c r="F20" s="82"/>
      <c r="G20" s="82"/>
      <c r="H20" s="82"/>
      <c r="I20" s="82"/>
      <c r="J20" s="92"/>
      <c r="K20" s="286"/>
      <c r="L20" s="286"/>
      <c r="M20" s="286"/>
      <c r="N20" s="286"/>
      <c r="O20" s="286"/>
      <c r="P20" s="286"/>
      <c r="Q20" s="286"/>
      <c r="R20" s="286"/>
      <c r="S20" s="286"/>
      <c r="T20" s="286"/>
      <c r="U20" s="286"/>
      <c r="V20" s="286"/>
      <c r="W20" s="286"/>
      <c r="X20" s="286"/>
      <c r="Y20" s="286"/>
      <c r="Z20" s="286"/>
      <c r="AA20" s="286"/>
      <c r="AB20" s="286"/>
      <c r="AC20" s="286"/>
      <c r="AD20" s="286"/>
      <c r="AE20" s="286"/>
      <c r="AF20" s="286"/>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6"/>
      <c r="BK20" s="286"/>
      <c r="BL20" s="286"/>
      <c r="BM20" s="286"/>
      <c r="BN20" s="286"/>
      <c r="BO20" s="286"/>
      <c r="BP20" s="286"/>
      <c r="BQ20" s="286"/>
      <c r="BR20" s="286"/>
      <c r="BS20" s="82"/>
    </row>
    <row r="21" ht="15.75" customHeight="1">
      <c r="A21" s="91"/>
      <c r="B21" s="289" t="s">
        <v>290</v>
      </c>
      <c r="C21" s="283"/>
      <c r="D21" s="284"/>
      <c r="E21" s="290"/>
      <c r="F21" s="290"/>
      <c r="G21" s="290"/>
      <c r="H21" s="290"/>
      <c r="I21" s="290"/>
      <c r="J21" s="92"/>
      <c r="K21" s="291">
        <f t="shared" ref="K21:BR21" si="8">IF(K$17=Ramp_up_to_AUV_Nm,K$4,K$5)</f>
        <v>0.3</v>
      </c>
      <c r="L21" s="291">
        <f t="shared" si="8"/>
        <v>0.3777777778</v>
      </c>
      <c r="M21" s="291">
        <f t="shared" si="8"/>
        <v>0.4166666667</v>
      </c>
      <c r="N21" s="291">
        <f t="shared" si="8"/>
        <v>0.4555555556</v>
      </c>
      <c r="O21" s="291">
        <f t="shared" si="8"/>
        <v>0.4944444444</v>
      </c>
      <c r="P21" s="291">
        <f t="shared" si="8"/>
        <v>0.5333333333</v>
      </c>
      <c r="Q21" s="291">
        <f t="shared" si="8"/>
        <v>0.5722222222</v>
      </c>
      <c r="R21" s="291">
        <f t="shared" si="8"/>
        <v>0.6111111111</v>
      </c>
      <c r="S21" s="291">
        <f t="shared" si="8"/>
        <v>0.65</v>
      </c>
      <c r="T21" s="291">
        <f t="shared" si="8"/>
        <v>0.6888888889</v>
      </c>
      <c r="U21" s="291">
        <f t="shared" si="8"/>
        <v>0.7277777778</v>
      </c>
      <c r="V21" s="291">
        <f t="shared" si="8"/>
        <v>0.7666666667</v>
      </c>
      <c r="W21" s="291">
        <f t="shared" si="8"/>
        <v>0.8055555556</v>
      </c>
      <c r="X21" s="291">
        <f t="shared" si="8"/>
        <v>0.8444444444</v>
      </c>
      <c r="Y21" s="291">
        <f t="shared" si="8"/>
        <v>0.8833333333</v>
      </c>
      <c r="Z21" s="291">
        <f t="shared" si="8"/>
        <v>0.9222222222</v>
      </c>
      <c r="AA21" s="291">
        <f t="shared" si="8"/>
        <v>0.9611111111</v>
      </c>
      <c r="AB21" s="291">
        <f t="shared" si="8"/>
        <v>1</v>
      </c>
      <c r="AC21" s="291">
        <f t="shared" si="8"/>
        <v>0.13</v>
      </c>
      <c r="AD21" s="291">
        <f t="shared" si="8"/>
        <v>0.13</v>
      </c>
      <c r="AE21" s="291">
        <f t="shared" si="8"/>
        <v>0.13</v>
      </c>
      <c r="AF21" s="291">
        <f t="shared" si="8"/>
        <v>0.13</v>
      </c>
      <c r="AG21" s="291">
        <f t="shared" si="8"/>
        <v>0.13</v>
      </c>
      <c r="AH21" s="291">
        <f t="shared" si="8"/>
        <v>0.13</v>
      </c>
      <c r="AI21" s="291">
        <f t="shared" si="8"/>
        <v>0.1</v>
      </c>
      <c r="AJ21" s="291">
        <f t="shared" si="8"/>
        <v>0.1</v>
      </c>
      <c r="AK21" s="291">
        <f t="shared" si="8"/>
        <v>0.1</v>
      </c>
      <c r="AL21" s="291">
        <f t="shared" si="8"/>
        <v>0.1</v>
      </c>
      <c r="AM21" s="291">
        <f t="shared" si="8"/>
        <v>0.1</v>
      </c>
      <c r="AN21" s="291">
        <f t="shared" si="8"/>
        <v>0.1</v>
      </c>
      <c r="AO21" s="291">
        <f t="shared" si="8"/>
        <v>0.1</v>
      </c>
      <c r="AP21" s="291">
        <f t="shared" si="8"/>
        <v>0.1</v>
      </c>
      <c r="AQ21" s="291">
        <f t="shared" si="8"/>
        <v>0.1</v>
      </c>
      <c r="AR21" s="291">
        <f t="shared" si="8"/>
        <v>0.1</v>
      </c>
      <c r="AS21" s="291">
        <f t="shared" si="8"/>
        <v>0.1</v>
      </c>
      <c r="AT21" s="291">
        <f t="shared" si="8"/>
        <v>0.1</v>
      </c>
      <c r="AU21" s="291">
        <f t="shared" si="8"/>
        <v>0.08</v>
      </c>
      <c r="AV21" s="291">
        <f t="shared" si="8"/>
        <v>0.08</v>
      </c>
      <c r="AW21" s="291">
        <f t="shared" si="8"/>
        <v>0.08</v>
      </c>
      <c r="AX21" s="291">
        <f t="shared" si="8"/>
        <v>0.08</v>
      </c>
      <c r="AY21" s="291">
        <f t="shared" si="8"/>
        <v>0.08</v>
      </c>
      <c r="AZ21" s="291">
        <f t="shared" si="8"/>
        <v>0.08</v>
      </c>
      <c r="BA21" s="291">
        <f t="shared" si="8"/>
        <v>0.08</v>
      </c>
      <c r="BB21" s="291">
        <f t="shared" si="8"/>
        <v>0.08</v>
      </c>
      <c r="BC21" s="291">
        <f t="shared" si="8"/>
        <v>0.08</v>
      </c>
      <c r="BD21" s="291">
        <f t="shared" si="8"/>
        <v>0.08</v>
      </c>
      <c r="BE21" s="291">
        <f t="shared" si="8"/>
        <v>0.08</v>
      </c>
      <c r="BF21" s="291">
        <f t="shared" si="8"/>
        <v>0.08</v>
      </c>
      <c r="BG21" s="291">
        <f t="shared" si="8"/>
        <v>0.08</v>
      </c>
      <c r="BH21" s="291">
        <f t="shared" si="8"/>
        <v>0.08</v>
      </c>
      <c r="BI21" s="291">
        <f t="shared" si="8"/>
        <v>0.08</v>
      </c>
      <c r="BJ21" s="291">
        <f t="shared" si="8"/>
        <v>0.08</v>
      </c>
      <c r="BK21" s="291">
        <f t="shared" si="8"/>
        <v>0.08</v>
      </c>
      <c r="BL21" s="291">
        <f t="shared" si="8"/>
        <v>0.08</v>
      </c>
      <c r="BM21" s="291">
        <f t="shared" si="8"/>
        <v>0.08</v>
      </c>
      <c r="BN21" s="291">
        <f t="shared" si="8"/>
        <v>0.08</v>
      </c>
      <c r="BO21" s="291">
        <f t="shared" si="8"/>
        <v>0.08</v>
      </c>
      <c r="BP21" s="291">
        <f t="shared" si="8"/>
        <v>0.08</v>
      </c>
      <c r="BQ21" s="291">
        <f t="shared" si="8"/>
        <v>0.08</v>
      </c>
      <c r="BR21" s="291">
        <f t="shared" si="8"/>
        <v>0.08</v>
      </c>
      <c r="BS21" s="284"/>
    </row>
    <row r="22" ht="15.75" hidden="1" customHeight="1">
      <c r="A22" s="80"/>
      <c r="B22" s="122" t="s">
        <v>291</v>
      </c>
      <c r="C22" s="292"/>
      <c r="D22" s="85"/>
      <c r="E22" s="93"/>
      <c r="F22" s="93"/>
      <c r="G22" s="93"/>
      <c r="H22" s="93"/>
      <c r="I22" s="93"/>
      <c r="J22" s="92"/>
      <c r="K22" s="93">
        <f t="shared" ref="K22:BR22" si="9">K23*12</f>
        <v>158098.2</v>
      </c>
      <c r="L22" s="93">
        <f t="shared" si="9"/>
        <v>199086.6222</v>
      </c>
      <c r="M22" s="93">
        <f t="shared" si="9"/>
        <v>219580.8333</v>
      </c>
      <c r="N22" s="93">
        <f t="shared" si="9"/>
        <v>240075.0444</v>
      </c>
      <c r="O22" s="93">
        <f t="shared" si="9"/>
        <v>260569.2556</v>
      </c>
      <c r="P22" s="93">
        <f t="shared" si="9"/>
        <v>281063.4667</v>
      </c>
      <c r="Q22" s="93">
        <f t="shared" si="9"/>
        <v>301557.6778</v>
      </c>
      <c r="R22" s="93">
        <f t="shared" si="9"/>
        <v>322051.8889</v>
      </c>
      <c r="S22" s="93">
        <f t="shared" si="9"/>
        <v>342546.1</v>
      </c>
      <c r="T22" s="93">
        <f t="shared" si="9"/>
        <v>363040.3111</v>
      </c>
      <c r="U22" s="93">
        <f t="shared" si="9"/>
        <v>383534.5222</v>
      </c>
      <c r="V22" s="93">
        <f t="shared" si="9"/>
        <v>404028.7333</v>
      </c>
      <c r="W22" s="93">
        <f t="shared" si="9"/>
        <v>424522.9444</v>
      </c>
      <c r="X22" s="93">
        <f t="shared" si="9"/>
        <v>445017.1556</v>
      </c>
      <c r="Y22" s="93">
        <f t="shared" si="9"/>
        <v>465511.3667</v>
      </c>
      <c r="Z22" s="93">
        <f t="shared" si="9"/>
        <v>486005.5778</v>
      </c>
      <c r="AA22" s="93">
        <f t="shared" si="9"/>
        <v>506499.7889</v>
      </c>
      <c r="AB22" s="93">
        <f t="shared" si="9"/>
        <v>526994</v>
      </c>
      <c r="AC22" s="93">
        <f t="shared" si="9"/>
        <v>532703.1017</v>
      </c>
      <c r="AD22" s="93">
        <f t="shared" si="9"/>
        <v>538474.0519</v>
      </c>
      <c r="AE22" s="93">
        <f t="shared" si="9"/>
        <v>544307.5208</v>
      </c>
      <c r="AF22" s="93">
        <f t="shared" si="9"/>
        <v>550204.1856</v>
      </c>
      <c r="AG22" s="93">
        <f t="shared" si="9"/>
        <v>556164.731</v>
      </c>
      <c r="AH22" s="93">
        <f t="shared" si="9"/>
        <v>562189.8489</v>
      </c>
      <c r="AI22" s="93">
        <f t="shared" si="9"/>
        <v>566874.7643</v>
      </c>
      <c r="AJ22" s="93">
        <f t="shared" si="9"/>
        <v>571598.7207</v>
      </c>
      <c r="AK22" s="93">
        <f t="shared" si="9"/>
        <v>576362.0434</v>
      </c>
      <c r="AL22" s="93">
        <f t="shared" si="9"/>
        <v>581165.0604</v>
      </c>
      <c r="AM22" s="93">
        <f t="shared" si="9"/>
        <v>586008.1025</v>
      </c>
      <c r="AN22" s="93">
        <f t="shared" si="9"/>
        <v>590891.5034</v>
      </c>
      <c r="AO22" s="93">
        <f t="shared" si="9"/>
        <v>595815.5993</v>
      </c>
      <c r="AP22" s="93">
        <f t="shared" si="9"/>
        <v>600780.7293</v>
      </c>
      <c r="AQ22" s="93">
        <f t="shared" si="9"/>
        <v>605787.2353</v>
      </c>
      <c r="AR22" s="93">
        <f t="shared" si="9"/>
        <v>610835.4623</v>
      </c>
      <c r="AS22" s="93">
        <f t="shared" si="9"/>
        <v>615925.7578</v>
      </c>
      <c r="AT22" s="93">
        <f t="shared" si="9"/>
        <v>621058.4725</v>
      </c>
      <c r="AU22" s="93">
        <f t="shared" si="9"/>
        <v>625198.8623</v>
      </c>
      <c r="AV22" s="93">
        <f t="shared" si="9"/>
        <v>629366.8547</v>
      </c>
      <c r="AW22" s="93">
        <f t="shared" si="9"/>
        <v>633562.6337</v>
      </c>
      <c r="AX22" s="93">
        <f t="shared" si="9"/>
        <v>637786.3846</v>
      </c>
      <c r="AY22" s="93">
        <f t="shared" si="9"/>
        <v>642038.2939</v>
      </c>
      <c r="AZ22" s="93">
        <f t="shared" si="9"/>
        <v>646318.5491</v>
      </c>
      <c r="BA22" s="93">
        <f t="shared" si="9"/>
        <v>650627.3395</v>
      </c>
      <c r="BB22" s="93">
        <f t="shared" si="9"/>
        <v>654964.8551</v>
      </c>
      <c r="BC22" s="93">
        <f t="shared" si="9"/>
        <v>659331.2874</v>
      </c>
      <c r="BD22" s="93">
        <f t="shared" si="9"/>
        <v>663726.8294</v>
      </c>
      <c r="BE22" s="93">
        <f t="shared" si="9"/>
        <v>668151.6749</v>
      </c>
      <c r="BF22" s="93">
        <f t="shared" si="9"/>
        <v>672606.0194</v>
      </c>
      <c r="BG22" s="93">
        <f t="shared" si="9"/>
        <v>677090.0595</v>
      </c>
      <c r="BH22" s="93">
        <f t="shared" si="9"/>
        <v>681603.9932</v>
      </c>
      <c r="BI22" s="93">
        <f t="shared" si="9"/>
        <v>686148.0199</v>
      </c>
      <c r="BJ22" s="93">
        <f t="shared" si="9"/>
        <v>690722.34</v>
      </c>
      <c r="BK22" s="93">
        <f t="shared" si="9"/>
        <v>695327.1556</v>
      </c>
      <c r="BL22" s="93">
        <f t="shared" si="9"/>
        <v>699962.67</v>
      </c>
      <c r="BM22" s="93">
        <f t="shared" si="9"/>
        <v>704629.0878</v>
      </c>
      <c r="BN22" s="93">
        <f t="shared" si="9"/>
        <v>709326.615</v>
      </c>
      <c r="BO22" s="93">
        <f t="shared" si="9"/>
        <v>714055.4591</v>
      </c>
      <c r="BP22" s="93">
        <f t="shared" si="9"/>
        <v>718815.8288</v>
      </c>
      <c r="BQ22" s="93">
        <f t="shared" si="9"/>
        <v>723607.9344</v>
      </c>
      <c r="BR22" s="93">
        <f t="shared" si="9"/>
        <v>728431.9873</v>
      </c>
      <c r="BS22" s="85"/>
    </row>
    <row r="23" ht="15.75" customHeight="1">
      <c r="A23" s="80"/>
      <c r="B23" s="122" t="s">
        <v>292</v>
      </c>
      <c r="C23" s="292"/>
      <c r="D23" s="85"/>
      <c r="E23" s="93">
        <f t="shared" ref="E23:I23" si="10">SUMIFS($K$23:$BR$23,$K$2:$BR$2,E$1)</f>
        <v>289602.7213</v>
      </c>
      <c r="F23" s="93">
        <f t="shared" si="10"/>
        <v>511549.5228</v>
      </c>
      <c r="G23" s="93">
        <f t="shared" si="10"/>
        <v>593591.9543</v>
      </c>
      <c r="H23" s="93">
        <f t="shared" si="10"/>
        <v>648639.9653</v>
      </c>
      <c r="I23" s="93">
        <f t="shared" si="10"/>
        <v>702476.7625</v>
      </c>
      <c r="J23" s="92"/>
      <c r="K23" s="93">
        <f>IF(K$17=Ramp_up_to_AUV_Nm,(K$21*Gross_Sales)/12,Gross_Sales/12*(1+(K$21/12)))</f>
        <v>13174.85</v>
      </c>
      <c r="L23" s="93">
        <f>IF(L$17=Ramp_up_to_AUV_Nm,(L$21*Gross_Sales)/12,K$23*(1+(L$21/12)))</f>
        <v>16590.55185</v>
      </c>
      <c r="M23" s="93">
        <f>IF(M$17=Ramp_up_to_AUV_Nm,(M$21*Gross_Sales)/12,L$23*(1+(M$21/12)))</f>
        <v>18298.40278</v>
      </c>
      <c r="N23" s="93">
        <f>IF(N$17=Ramp_up_to_AUV_Nm,(N$21*Gross_Sales)/12,M$23*(1+(N$21/12)))</f>
        <v>20006.2537</v>
      </c>
      <c r="O23" s="93">
        <f>IF(O$17=Ramp_up_to_AUV_Nm,(O$21*Gross_Sales)/12,N$23*(1+(O$21/12)))</f>
        <v>21714.10463</v>
      </c>
      <c r="P23" s="93">
        <f>IF(P$17=Ramp_up_to_AUV_Nm,(P$21*Gross_Sales)/12,O$23*(1+(P$21/12)))</f>
        <v>23421.95556</v>
      </c>
      <c r="Q23" s="93">
        <f>IF(Q$17=Ramp_up_to_AUV_Nm,(Q$21*Gross_Sales)/12,P$23*(1+(Q$21/12)))</f>
        <v>25129.80648</v>
      </c>
      <c r="R23" s="93">
        <f>IF(R$17=Ramp_up_to_AUV_Nm,(R$21*Gross_Sales)/12,Q$23*(1+(R$21/12)))</f>
        <v>26837.65741</v>
      </c>
      <c r="S23" s="93">
        <f>IF(S$17=Ramp_up_to_AUV_Nm,(S$21*Gross_Sales)/12,R$23*(1+(S$21/12)))</f>
        <v>28545.50833</v>
      </c>
      <c r="T23" s="93">
        <f>IF(T$17=Ramp_up_to_AUV_Nm,(T$21*Gross_Sales)/12,S$23*(1+(T$21/12)))</f>
        <v>30253.35926</v>
      </c>
      <c r="U23" s="93">
        <f>IF(U$17=Ramp_up_to_AUV_Nm,(U$21*Gross_Sales)/12,T$23*(1+(U$21/12)))</f>
        <v>31961.21019</v>
      </c>
      <c r="V23" s="93">
        <f>IF(V$17=Ramp_up_to_AUV_Nm,(V$21*Gross_Sales)/12,U$23*(1+(V$21/12)))</f>
        <v>33669.06111</v>
      </c>
      <c r="W23" s="93">
        <f>IF(W$17=Ramp_up_to_AUV_Nm,(W$21*Gross_Sales)/12,V$23*(1+(W$21/12)))</f>
        <v>35376.91204</v>
      </c>
      <c r="X23" s="93">
        <f>IF(X$17=Ramp_up_to_AUV_Nm,(X$21*Gross_Sales)/12,W$23*(1+(X$21/12)))</f>
        <v>37084.76296</v>
      </c>
      <c r="Y23" s="93">
        <f>IF(Y$17=Ramp_up_to_AUV_Nm,(Y$21*Gross_Sales)/12,X$23*(1+(Y$21/12)))</f>
        <v>38792.61389</v>
      </c>
      <c r="Z23" s="93">
        <f>IF(Z$17=Ramp_up_to_AUV_Nm,(Z$21*Gross_Sales)/12,Y$23*(1+(Z$21/12)))</f>
        <v>40500.46481</v>
      </c>
      <c r="AA23" s="93">
        <f>IF(AA$17=Ramp_up_to_AUV_Nm,(AA$21*Gross_Sales)/12,Z$23*(1+(AA$21/12)))</f>
        <v>42208.31574</v>
      </c>
      <c r="AB23" s="93">
        <f>IF(AB$17=Ramp_up_to_AUV_Nm,(AB$21*Gross_Sales)/12,AA$23*(1+(AB$21/12)))</f>
        <v>43916.16667</v>
      </c>
      <c r="AC23" s="93">
        <f>IF(AC$17=Ramp_up_to_AUV_Nm,(AC$21*Gross_Sales)/12,AB$23*(1+(AC$21/12)))</f>
        <v>44391.92514</v>
      </c>
      <c r="AD23" s="93">
        <f>IF(AD$17=Ramp_up_to_AUV_Nm,(AD$21*Gross_Sales)/12,AC$23*(1+(AD$21/12)))</f>
        <v>44872.83766</v>
      </c>
      <c r="AE23" s="93">
        <f>IF(AE$17=Ramp_up_to_AUV_Nm,(AE$21*Gross_Sales)/12,AD$23*(1+(AE$21/12)))</f>
        <v>45358.96007</v>
      </c>
      <c r="AF23" s="93">
        <f>IF(AF$17=Ramp_up_to_AUV_Nm,(AF$21*Gross_Sales)/12,AE$23*(1+(AF$21/12)))</f>
        <v>45850.3488</v>
      </c>
      <c r="AG23" s="93">
        <f>IF(AG$17=Ramp_up_to_AUV_Nm,(AG$21*Gross_Sales)/12,AF$23*(1+(AG$21/12)))</f>
        <v>46347.06092</v>
      </c>
      <c r="AH23" s="93">
        <f>IF(AH$17=Ramp_up_to_AUV_Nm,(AH$21*Gross_Sales)/12,AG$23*(1+(AH$21/12)))</f>
        <v>46849.15408</v>
      </c>
      <c r="AI23" s="93">
        <f>IF(AI$17=Ramp_up_to_AUV_Nm,(AI$21*Gross_Sales)/12,AH$23*(1+(AI$21/12)))</f>
        <v>47239.56369</v>
      </c>
      <c r="AJ23" s="93">
        <f>IF(AJ$17=Ramp_up_to_AUV_Nm,(AJ$21*Gross_Sales)/12,AI$23*(1+(AJ$21/12)))</f>
        <v>47633.22672</v>
      </c>
      <c r="AK23" s="93">
        <f>IF(AK$17=Ramp_up_to_AUV_Nm,(AK$21*Gross_Sales)/12,AJ$23*(1+(AK$21/12)))</f>
        <v>48030.17028</v>
      </c>
      <c r="AL23" s="93">
        <f>IF(AL$17=Ramp_up_to_AUV_Nm,(AL$21*Gross_Sales)/12,AK$23*(1+(AL$21/12)))</f>
        <v>48430.4217</v>
      </c>
      <c r="AM23" s="93">
        <f>IF(AM$17=Ramp_up_to_AUV_Nm,(AM$21*Gross_Sales)/12,AL$23*(1+(AM$21/12)))</f>
        <v>48834.00855</v>
      </c>
      <c r="AN23" s="93">
        <f>IF(AN$17=Ramp_up_to_AUV_Nm,(AN$21*Gross_Sales)/12,AM$23*(1+(AN$21/12)))</f>
        <v>49240.95862</v>
      </c>
      <c r="AO23" s="93">
        <f>IF(AO$17=Ramp_up_to_AUV_Nm,(AO$21*Gross_Sales)/12,AN$23*(1+(AO$21/12)))</f>
        <v>49651.29994</v>
      </c>
      <c r="AP23" s="93">
        <f>IF(AP$17=Ramp_up_to_AUV_Nm,(AP$21*Gross_Sales)/12,AO$23*(1+(AP$21/12)))</f>
        <v>50065.06077</v>
      </c>
      <c r="AQ23" s="93">
        <f>IF(AQ$17=Ramp_up_to_AUV_Nm,(AQ$21*Gross_Sales)/12,AP$23*(1+(AQ$21/12)))</f>
        <v>50482.26961</v>
      </c>
      <c r="AR23" s="93">
        <f>IF(AR$17=Ramp_up_to_AUV_Nm,(AR$21*Gross_Sales)/12,AQ$23*(1+(AR$21/12)))</f>
        <v>50902.95519</v>
      </c>
      <c r="AS23" s="93">
        <f>IF(AS$17=Ramp_up_to_AUV_Nm,(AS$21*Gross_Sales)/12,AR$23*(1+(AS$21/12)))</f>
        <v>51327.14648</v>
      </c>
      <c r="AT23" s="93">
        <f>IF(AT$17=Ramp_up_to_AUV_Nm,(AT$21*Gross_Sales)/12,AS$23*(1+(AT$21/12)))</f>
        <v>51754.87271</v>
      </c>
      <c r="AU23" s="93">
        <f>IF(AU$17=Ramp_up_to_AUV_Nm,(AU$21*Gross_Sales)/12,AT$23*(1+(AU$21/12)))</f>
        <v>52099.90519</v>
      </c>
      <c r="AV23" s="93">
        <f>IF(AV$17=Ramp_up_to_AUV_Nm,(AV$21*Gross_Sales)/12,AU$23*(1+(AV$21/12)))</f>
        <v>52447.23789</v>
      </c>
      <c r="AW23" s="93">
        <f>IF(AW$17=Ramp_up_to_AUV_Nm,(AW$21*Gross_Sales)/12,AV$23*(1+(AW$21/12)))</f>
        <v>52796.88614</v>
      </c>
      <c r="AX23" s="93">
        <f>IF(AX$17=Ramp_up_to_AUV_Nm,(AX$21*Gross_Sales)/12,AW$23*(1+(AX$21/12)))</f>
        <v>53148.86539</v>
      </c>
      <c r="AY23" s="93">
        <f>IF(AY$17=Ramp_up_to_AUV_Nm,(AY$21*Gross_Sales)/12,AX$23*(1+(AY$21/12)))</f>
        <v>53503.19115</v>
      </c>
      <c r="AZ23" s="93">
        <f>IF(AZ$17=Ramp_up_to_AUV_Nm,(AZ$21*Gross_Sales)/12,AY$23*(1+(AZ$21/12)))</f>
        <v>53859.8791</v>
      </c>
      <c r="BA23" s="93">
        <f>IF(BA$17=Ramp_up_to_AUV_Nm,(BA$21*Gross_Sales)/12,AZ$23*(1+(BA$21/12)))</f>
        <v>54218.94496</v>
      </c>
      <c r="BB23" s="93">
        <f>IF(BB$17=Ramp_up_to_AUV_Nm,(BB$21*Gross_Sales)/12,BA$23*(1+(BB$21/12)))</f>
        <v>54580.40459</v>
      </c>
      <c r="BC23" s="93">
        <f>IF(BC$17=Ramp_up_to_AUV_Nm,(BC$21*Gross_Sales)/12,BB$23*(1+(BC$21/12)))</f>
        <v>54944.27395</v>
      </c>
      <c r="BD23" s="93">
        <f>IF(BD$17=Ramp_up_to_AUV_Nm,(BD$21*Gross_Sales)/12,BC$23*(1+(BD$21/12)))</f>
        <v>55310.56911</v>
      </c>
      <c r="BE23" s="93">
        <f>IF(BE$17=Ramp_up_to_AUV_Nm,(BE$21*Gross_Sales)/12,BD$23*(1+(BE$21/12)))</f>
        <v>55679.30624</v>
      </c>
      <c r="BF23" s="93">
        <f>IF(BF$17=Ramp_up_to_AUV_Nm,(BF$21*Gross_Sales)/12,BE$23*(1+(BF$21/12)))</f>
        <v>56050.50161</v>
      </c>
      <c r="BG23" s="93">
        <f>IF(BG$17=Ramp_up_to_AUV_Nm,(BG$21*Gross_Sales)/12,BF$23*(1+(BG$21/12)))</f>
        <v>56424.17163</v>
      </c>
      <c r="BH23" s="93">
        <f>IF(BH$17=Ramp_up_to_AUV_Nm,(BH$21*Gross_Sales)/12,BG$23*(1+(BH$21/12)))</f>
        <v>56800.33277</v>
      </c>
      <c r="BI23" s="93">
        <f>IF(BI$17=Ramp_up_to_AUV_Nm,(BI$21*Gross_Sales)/12,BH$23*(1+(BI$21/12)))</f>
        <v>57179.00166</v>
      </c>
      <c r="BJ23" s="93">
        <f>IF(BJ$17=Ramp_up_to_AUV_Nm,(BJ$21*Gross_Sales)/12,BI$23*(1+(BJ$21/12)))</f>
        <v>57560.195</v>
      </c>
      <c r="BK23" s="93">
        <f>IF(BK$17=Ramp_up_to_AUV_Nm,(BK$21*Gross_Sales)/12,BJ$23*(1+(BK$21/12)))</f>
        <v>57943.92963</v>
      </c>
      <c r="BL23" s="93">
        <f>IF(BL$17=Ramp_up_to_AUV_Nm,(BL$21*Gross_Sales)/12,BK$23*(1+(BL$21/12)))</f>
        <v>58330.2225</v>
      </c>
      <c r="BM23" s="93">
        <f>IF(BM$17=Ramp_up_to_AUV_Nm,(BM$21*Gross_Sales)/12,BL$23*(1+(BM$21/12)))</f>
        <v>58719.09065</v>
      </c>
      <c r="BN23" s="93">
        <f>IF(BN$17=Ramp_up_to_AUV_Nm,(BN$21*Gross_Sales)/12,BM$23*(1+(BN$21/12)))</f>
        <v>59110.55125</v>
      </c>
      <c r="BO23" s="93">
        <f>IF(BO$17=Ramp_up_to_AUV_Nm,(BO$21*Gross_Sales)/12,BN$23*(1+(BO$21/12)))</f>
        <v>59504.62159</v>
      </c>
      <c r="BP23" s="93">
        <f>IF(BP$17=Ramp_up_to_AUV_Nm,(BP$21*Gross_Sales)/12,BO$23*(1+(BP$21/12)))</f>
        <v>59901.31907</v>
      </c>
      <c r="BQ23" s="93">
        <f>IF(BQ$17=Ramp_up_to_AUV_Nm,(BQ$21*Gross_Sales)/12,BP$23*(1+(BQ$21/12)))</f>
        <v>60300.6612</v>
      </c>
      <c r="BR23" s="93">
        <f>IF(BR$17=Ramp_up_to_AUV_Nm,(BR$21*Gross_Sales)/12,BQ$23*(1+(BR$21/12)))</f>
        <v>60702.66561</v>
      </c>
      <c r="BS23" s="85"/>
    </row>
    <row r="24" ht="15.75" customHeight="1">
      <c r="A24" s="91"/>
      <c r="B24" s="289" t="s">
        <v>293</v>
      </c>
      <c r="C24" s="283"/>
      <c r="D24" s="284"/>
      <c r="E24" s="293">
        <f t="shared" ref="E24:I24" si="11">AVERAGEIFS($K24:$BR24,$K$2:$BR$2,E$1)*12</f>
        <v>0.549537037</v>
      </c>
      <c r="F24" s="293">
        <f t="shared" si="11"/>
        <v>0.5163888889</v>
      </c>
      <c r="G24" s="293">
        <f t="shared" si="11"/>
        <v>0.1</v>
      </c>
      <c r="H24" s="293">
        <f t="shared" si="11"/>
        <v>0.08</v>
      </c>
      <c r="I24" s="293">
        <f t="shared" si="11"/>
        <v>0.08</v>
      </c>
      <c r="J24" s="92"/>
      <c r="K24" s="294">
        <f t="shared" ref="K24:BR24" si="12">K21/12</f>
        <v>0.025</v>
      </c>
      <c r="L24" s="294">
        <f t="shared" si="12"/>
        <v>0.03148148148</v>
      </c>
      <c r="M24" s="294">
        <f t="shared" si="12"/>
        <v>0.03472222222</v>
      </c>
      <c r="N24" s="294">
        <f t="shared" si="12"/>
        <v>0.03796296296</v>
      </c>
      <c r="O24" s="294">
        <f t="shared" si="12"/>
        <v>0.0412037037</v>
      </c>
      <c r="P24" s="294">
        <f t="shared" si="12"/>
        <v>0.04444444444</v>
      </c>
      <c r="Q24" s="294">
        <f t="shared" si="12"/>
        <v>0.04768518519</v>
      </c>
      <c r="R24" s="294">
        <f t="shared" si="12"/>
        <v>0.05092592593</v>
      </c>
      <c r="S24" s="294">
        <f t="shared" si="12"/>
        <v>0.05416666667</v>
      </c>
      <c r="T24" s="294">
        <f t="shared" si="12"/>
        <v>0.05740740741</v>
      </c>
      <c r="U24" s="294">
        <f t="shared" si="12"/>
        <v>0.06064814815</v>
      </c>
      <c r="V24" s="294">
        <f t="shared" si="12"/>
        <v>0.06388888889</v>
      </c>
      <c r="W24" s="294">
        <f t="shared" si="12"/>
        <v>0.06712962963</v>
      </c>
      <c r="X24" s="294">
        <f t="shared" si="12"/>
        <v>0.07037037037</v>
      </c>
      <c r="Y24" s="294">
        <f t="shared" si="12"/>
        <v>0.07361111111</v>
      </c>
      <c r="Z24" s="294">
        <f t="shared" si="12"/>
        <v>0.07685185185</v>
      </c>
      <c r="AA24" s="294">
        <f t="shared" si="12"/>
        <v>0.08009259259</v>
      </c>
      <c r="AB24" s="294">
        <f t="shared" si="12"/>
        <v>0.08333333333</v>
      </c>
      <c r="AC24" s="294">
        <f t="shared" si="12"/>
        <v>0.01083333333</v>
      </c>
      <c r="AD24" s="294">
        <f t="shared" si="12"/>
        <v>0.01083333333</v>
      </c>
      <c r="AE24" s="294">
        <f t="shared" si="12"/>
        <v>0.01083333333</v>
      </c>
      <c r="AF24" s="294">
        <f t="shared" si="12"/>
        <v>0.01083333333</v>
      </c>
      <c r="AG24" s="294">
        <f t="shared" si="12"/>
        <v>0.01083333333</v>
      </c>
      <c r="AH24" s="294">
        <f t="shared" si="12"/>
        <v>0.01083333333</v>
      </c>
      <c r="AI24" s="294">
        <f t="shared" si="12"/>
        <v>0.008333333333</v>
      </c>
      <c r="AJ24" s="294">
        <f t="shared" si="12"/>
        <v>0.008333333333</v>
      </c>
      <c r="AK24" s="294">
        <f t="shared" si="12"/>
        <v>0.008333333333</v>
      </c>
      <c r="AL24" s="294">
        <f t="shared" si="12"/>
        <v>0.008333333333</v>
      </c>
      <c r="AM24" s="294">
        <f t="shared" si="12"/>
        <v>0.008333333333</v>
      </c>
      <c r="AN24" s="294">
        <f t="shared" si="12"/>
        <v>0.008333333333</v>
      </c>
      <c r="AO24" s="294">
        <f t="shared" si="12"/>
        <v>0.008333333333</v>
      </c>
      <c r="AP24" s="294">
        <f t="shared" si="12"/>
        <v>0.008333333333</v>
      </c>
      <c r="AQ24" s="294">
        <f t="shared" si="12"/>
        <v>0.008333333333</v>
      </c>
      <c r="AR24" s="294">
        <f t="shared" si="12"/>
        <v>0.008333333333</v>
      </c>
      <c r="AS24" s="294">
        <f t="shared" si="12"/>
        <v>0.008333333333</v>
      </c>
      <c r="AT24" s="294">
        <f t="shared" si="12"/>
        <v>0.008333333333</v>
      </c>
      <c r="AU24" s="294">
        <f t="shared" si="12"/>
        <v>0.006666666667</v>
      </c>
      <c r="AV24" s="294">
        <f t="shared" si="12"/>
        <v>0.006666666667</v>
      </c>
      <c r="AW24" s="294">
        <f t="shared" si="12"/>
        <v>0.006666666667</v>
      </c>
      <c r="AX24" s="294">
        <f t="shared" si="12"/>
        <v>0.006666666667</v>
      </c>
      <c r="AY24" s="294">
        <f t="shared" si="12"/>
        <v>0.006666666667</v>
      </c>
      <c r="AZ24" s="294">
        <f t="shared" si="12"/>
        <v>0.006666666667</v>
      </c>
      <c r="BA24" s="294">
        <f t="shared" si="12"/>
        <v>0.006666666667</v>
      </c>
      <c r="BB24" s="294">
        <f t="shared" si="12"/>
        <v>0.006666666667</v>
      </c>
      <c r="BC24" s="294">
        <f t="shared" si="12"/>
        <v>0.006666666667</v>
      </c>
      <c r="BD24" s="294">
        <f t="shared" si="12"/>
        <v>0.006666666667</v>
      </c>
      <c r="BE24" s="294">
        <f t="shared" si="12"/>
        <v>0.006666666667</v>
      </c>
      <c r="BF24" s="294">
        <f t="shared" si="12"/>
        <v>0.006666666667</v>
      </c>
      <c r="BG24" s="294">
        <f t="shared" si="12"/>
        <v>0.006666666667</v>
      </c>
      <c r="BH24" s="294">
        <f t="shared" si="12"/>
        <v>0.006666666667</v>
      </c>
      <c r="BI24" s="294">
        <f t="shared" si="12"/>
        <v>0.006666666667</v>
      </c>
      <c r="BJ24" s="294">
        <f t="shared" si="12"/>
        <v>0.006666666667</v>
      </c>
      <c r="BK24" s="294">
        <f t="shared" si="12"/>
        <v>0.006666666667</v>
      </c>
      <c r="BL24" s="294">
        <f t="shared" si="12"/>
        <v>0.006666666667</v>
      </c>
      <c r="BM24" s="294">
        <f t="shared" si="12"/>
        <v>0.006666666667</v>
      </c>
      <c r="BN24" s="294">
        <f t="shared" si="12"/>
        <v>0.006666666667</v>
      </c>
      <c r="BO24" s="294">
        <f t="shared" si="12"/>
        <v>0.006666666667</v>
      </c>
      <c r="BP24" s="294">
        <f t="shared" si="12"/>
        <v>0.006666666667</v>
      </c>
      <c r="BQ24" s="294">
        <f t="shared" si="12"/>
        <v>0.006666666667</v>
      </c>
      <c r="BR24" s="294">
        <f t="shared" si="12"/>
        <v>0.006666666667</v>
      </c>
      <c r="BS24" s="284"/>
    </row>
    <row r="25" ht="7.5" customHeight="1">
      <c r="A25" s="80"/>
      <c r="B25" s="75"/>
      <c r="C25" s="75"/>
      <c r="D25" s="75"/>
      <c r="E25" s="75"/>
      <c r="F25" s="75"/>
      <c r="G25" s="75"/>
      <c r="H25" s="75"/>
      <c r="I25" s="75"/>
      <c r="J25" s="92"/>
      <c r="K25" s="75"/>
      <c r="L25" s="75"/>
      <c r="M25" s="75"/>
      <c r="N25" s="75"/>
      <c r="O25" s="75"/>
      <c r="P25" s="75"/>
      <c r="Q25" s="75"/>
      <c r="R25" s="75"/>
      <c r="S25" s="75"/>
      <c r="T25" s="75"/>
      <c r="U25" s="75"/>
      <c r="V25" s="75"/>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82"/>
    </row>
    <row r="26" ht="15.75" customHeight="1">
      <c r="A26" s="80"/>
      <c r="B26" s="131" t="s">
        <v>76</v>
      </c>
      <c r="C26" s="131"/>
      <c r="D26" s="102"/>
      <c r="E26" s="132">
        <f t="shared" ref="E26:I26" si="13">E23</f>
        <v>289602.7213</v>
      </c>
      <c r="F26" s="132">
        <f t="shared" si="13"/>
        <v>511549.5228</v>
      </c>
      <c r="G26" s="132">
        <f t="shared" si="13"/>
        <v>593591.9543</v>
      </c>
      <c r="H26" s="132">
        <f t="shared" si="13"/>
        <v>648639.9653</v>
      </c>
      <c r="I26" s="132">
        <f t="shared" si="13"/>
        <v>702476.7625</v>
      </c>
      <c r="J26" s="92"/>
      <c r="K26" s="132">
        <f t="shared" ref="K26:BR26" si="14">K23</f>
        <v>13174.85</v>
      </c>
      <c r="L26" s="132">
        <f t="shared" si="14"/>
        <v>16590.55185</v>
      </c>
      <c r="M26" s="132">
        <f t="shared" si="14"/>
        <v>18298.40278</v>
      </c>
      <c r="N26" s="132">
        <f t="shared" si="14"/>
        <v>20006.2537</v>
      </c>
      <c r="O26" s="132">
        <f t="shared" si="14"/>
        <v>21714.10463</v>
      </c>
      <c r="P26" s="132">
        <f t="shared" si="14"/>
        <v>23421.95556</v>
      </c>
      <c r="Q26" s="132">
        <f t="shared" si="14"/>
        <v>25129.80648</v>
      </c>
      <c r="R26" s="132">
        <f t="shared" si="14"/>
        <v>26837.65741</v>
      </c>
      <c r="S26" s="132">
        <f t="shared" si="14"/>
        <v>28545.50833</v>
      </c>
      <c r="T26" s="132">
        <f t="shared" si="14"/>
        <v>30253.35926</v>
      </c>
      <c r="U26" s="132">
        <f t="shared" si="14"/>
        <v>31961.21019</v>
      </c>
      <c r="V26" s="132">
        <f t="shared" si="14"/>
        <v>33669.06111</v>
      </c>
      <c r="W26" s="132">
        <f t="shared" si="14"/>
        <v>35376.91204</v>
      </c>
      <c r="X26" s="132">
        <f t="shared" si="14"/>
        <v>37084.76296</v>
      </c>
      <c r="Y26" s="132">
        <f t="shared" si="14"/>
        <v>38792.61389</v>
      </c>
      <c r="Z26" s="132">
        <f t="shared" si="14"/>
        <v>40500.46481</v>
      </c>
      <c r="AA26" s="132">
        <f t="shared" si="14"/>
        <v>42208.31574</v>
      </c>
      <c r="AB26" s="132">
        <f t="shared" si="14"/>
        <v>43916.16667</v>
      </c>
      <c r="AC26" s="132">
        <f t="shared" si="14"/>
        <v>44391.92514</v>
      </c>
      <c r="AD26" s="132">
        <f t="shared" si="14"/>
        <v>44872.83766</v>
      </c>
      <c r="AE26" s="132">
        <f t="shared" si="14"/>
        <v>45358.96007</v>
      </c>
      <c r="AF26" s="132">
        <f t="shared" si="14"/>
        <v>45850.3488</v>
      </c>
      <c r="AG26" s="132">
        <f t="shared" si="14"/>
        <v>46347.06092</v>
      </c>
      <c r="AH26" s="132">
        <f t="shared" si="14"/>
        <v>46849.15408</v>
      </c>
      <c r="AI26" s="132">
        <f t="shared" si="14"/>
        <v>47239.56369</v>
      </c>
      <c r="AJ26" s="132">
        <f t="shared" si="14"/>
        <v>47633.22672</v>
      </c>
      <c r="AK26" s="132">
        <f t="shared" si="14"/>
        <v>48030.17028</v>
      </c>
      <c r="AL26" s="132">
        <f t="shared" si="14"/>
        <v>48430.4217</v>
      </c>
      <c r="AM26" s="132">
        <f t="shared" si="14"/>
        <v>48834.00855</v>
      </c>
      <c r="AN26" s="132">
        <f t="shared" si="14"/>
        <v>49240.95862</v>
      </c>
      <c r="AO26" s="132">
        <f t="shared" si="14"/>
        <v>49651.29994</v>
      </c>
      <c r="AP26" s="132">
        <f t="shared" si="14"/>
        <v>50065.06077</v>
      </c>
      <c r="AQ26" s="132">
        <f t="shared" si="14"/>
        <v>50482.26961</v>
      </c>
      <c r="AR26" s="132">
        <f t="shared" si="14"/>
        <v>50902.95519</v>
      </c>
      <c r="AS26" s="132">
        <f t="shared" si="14"/>
        <v>51327.14648</v>
      </c>
      <c r="AT26" s="132">
        <f t="shared" si="14"/>
        <v>51754.87271</v>
      </c>
      <c r="AU26" s="132">
        <f t="shared" si="14"/>
        <v>52099.90519</v>
      </c>
      <c r="AV26" s="132">
        <f t="shared" si="14"/>
        <v>52447.23789</v>
      </c>
      <c r="AW26" s="132">
        <f t="shared" si="14"/>
        <v>52796.88614</v>
      </c>
      <c r="AX26" s="132">
        <f t="shared" si="14"/>
        <v>53148.86539</v>
      </c>
      <c r="AY26" s="132">
        <f t="shared" si="14"/>
        <v>53503.19115</v>
      </c>
      <c r="AZ26" s="132">
        <f t="shared" si="14"/>
        <v>53859.8791</v>
      </c>
      <c r="BA26" s="132">
        <f t="shared" si="14"/>
        <v>54218.94496</v>
      </c>
      <c r="BB26" s="132">
        <f t="shared" si="14"/>
        <v>54580.40459</v>
      </c>
      <c r="BC26" s="132">
        <f t="shared" si="14"/>
        <v>54944.27395</v>
      </c>
      <c r="BD26" s="132">
        <f t="shared" si="14"/>
        <v>55310.56911</v>
      </c>
      <c r="BE26" s="132">
        <f t="shared" si="14"/>
        <v>55679.30624</v>
      </c>
      <c r="BF26" s="132">
        <f t="shared" si="14"/>
        <v>56050.50161</v>
      </c>
      <c r="BG26" s="132">
        <f t="shared" si="14"/>
        <v>56424.17163</v>
      </c>
      <c r="BH26" s="132">
        <f t="shared" si="14"/>
        <v>56800.33277</v>
      </c>
      <c r="BI26" s="132">
        <f t="shared" si="14"/>
        <v>57179.00166</v>
      </c>
      <c r="BJ26" s="132">
        <f t="shared" si="14"/>
        <v>57560.195</v>
      </c>
      <c r="BK26" s="132">
        <f t="shared" si="14"/>
        <v>57943.92963</v>
      </c>
      <c r="BL26" s="132">
        <f t="shared" si="14"/>
        <v>58330.2225</v>
      </c>
      <c r="BM26" s="132">
        <f t="shared" si="14"/>
        <v>58719.09065</v>
      </c>
      <c r="BN26" s="132">
        <f t="shared" si="14"/>
        <v>59110.55125</v>
      </c>
      <c r="BO26" s="132">
        <f t="shared" si="14"/>
        <v>59504.62159</v>
      </c>
      <c r="BP26" s="132">
        <f t="shared" si="14"/>
        <v>59901.31907</v>
      </c>
      <c r="BQ26" s="132">
        <f t="shared" si="14"/>
        <v>60300.6612</v>
      </c>
      <c r="BR26" s="132">
        <f t="shared" si="14"/>
        <v>60702.66561</v>
      </c>
      <c r="BS26" s="75"/>
    </row>
    <row r="27" ht="15.75" customHeight="1">
      <c r="A27" s="80"/>
      <c r="B27" s="122"/>
      <c r="C27" s="122"/>
      <c r="D27" s="122"/>
      <c r="E27" s="122"/>
      <c r="F27" s="122"/>
      <c r="G27" s="122"/>
      <c r="H27" s="122"/>
      <c r="I27" s="122"/>
      <c r="J27" s="9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row>
    <row r="28" ht="15.75" customHeight="1">
      <c r="A28" s="91"/>
      <c r="B28" s="295" t="s">
        <v>294</v>
      </c>
      <c r="C28" s="126"/>
      <c r="D28" s="284"/>
      <c r="E28" s="293">
        <f t="shared" ref="E28:I28" si="15">AVERAGEIFS($K28:$BR28,$K$2:$BR$2,E$1)</f>
        <v>0.07</v>
      </c>
      <c r="F28" s="293">
        <f t="shared" si="15"/>
        <v>0.07</v>
      </c>
      <c r="G28" s="293">
        <f t="shared" si="15"/>
        <v>0.07</v>
      </c>
      <c r="H28" s="293">
        <f t="shared" si="15"/>
        <v>0.07</v>
      </c>
      <c r="I28" s="293">
        <f t="shared" si="15"/>
        <v>0.07</v>
      </c>
      <c r="J28" s="92"/>
      <c r="K28" s="294">
        <f t="array" ref="K28">INDEX(Royalty_Fee,K$2)</f>
        <v>0.07</v>
      </c>
      <c r="L28" s="294">
        <f t="array" ref="L28">INDEX(Royalty_Fee,L$2)</f>
        <v>0.07</v>
      </c>
      <c r="M28" s="294">
        <f t="array" ref="M28">INDEX(Royalty_Fee,M$2)</f>
        <v>0.07</v>
      </c>
      <c r="N28" s="294">
        <f t="array" ref="N28">INDEX(Royalty_Fee,N$2)</f>
        <v>0.07</v>
      </c>
      <c r="O28" s="294">
        <f t="array" ref="O28">INDEX(Royalty_Fee,O$2)</f>
        <v>0.07</v>
      </c>
      <c r="P28" s="294">
        <f t="array" ref="P28">INDEX(Royalty_Fee,P$2)</f>
        <v>0.07</v>
      </c>
      <c r="Q28" s="294">
        <f t="array" ref="Q28">INDEX(Royalty_Fee,Q$2)</f>
        <v>0.07</v>
      </c>
      <c r="R28" s="294">
        <f t="array" ref="R28">INDEX(Royalty_Fee,R$2)</f>
        <v>0.07</v>
      </c>
      <c r="S28" s="294">
        <f t="array" ref="S28">INDEX(Royalty_Fee,S$2)</f>
        <v>0.07</v>
      </c>
      <c r="T28" s="294">
        <f t="array" ref="T28">INDEX(Royalty_Fee,T$2)</f>
        <v>0.07</v>
      </c>
      <c r="U28" s="294">
        <f t="array" ref="U28">INDEX(Royalty_Fee,U$2)</f>
        <v>0.07</v>
      </c>
      <c r="V28" s="294">
        <f t="array" ref="V28">INDEX(Royalty_Fee,V$2)</f>
        <v>0.07</v>
      </c>
      <c r="W28" s="294">
        <f t="array" ref="W28">INDEX(Royalty_Fee,W$2)</f>
        <v>0.07</v>
      </c>
      <c r="X28" s="294">
        <f t="array" ref="X28">INDEX(Royalty_Fee,X$2)</f>
        <v>0.07</v>
      </c>
      <c r="Y28" s="294">
        <f t="array" ref="Y28">INDEX(Royalty_Fee,Y$2)</f>
        <v>0.07</v>
      </c>
      <c r="Z28" s="294">
        <f t="array" ref="Z28">INDEX(Royalty_Fee,Z$2)</f>
        <v>0.07</v>
      </c>
      <c r="AA28" s="294">
        <f t="array" ref="AA28">INDEX(Royalty_Fee,AA$2)</f>
        <v>0.07</v>
      </c>
      <c r="AB28" s="294">
        <f t="array" ref="AB28">INDEX(Royalty_Fee,AB$2)</f>
        <v>0.07</v>
      </c>
      <c r="AC28" s="294">
        <f t="array" ref="AC28">INDEX(Royalty_Fee,AC$2)</f>
        <v>0.07</v>
      </c>
      <c r="AD28" s="294">
        <f t="array" ref="AD28">INDEX(Royalty_Fee,AD$2)</f>
        <v>0.07</v>
      </c>
      <c r="AE28" s="294">
        <f t="array" ref="AE28">INDEX(Royalty_Fee,AE$2)</f>
        <v>0.07</v>
      </c>
      <c r="AF28" s="294">
        <f t="array" ref="AF28">INDEX(Royalty_Fee,AF$2)</f>
        <v>0.07</v>
      </c>
      <c r="AG28" s="294">
        <f t="array" ref="AG28">INDEX(Royalty_Fee,AG$2)</f>
        <v>0.07</v>
      </c>
      <c r="AH28" s="294">
        <f t="array" ref="AH28">INDEX(Royalty_Fee,AH$2)</f>
        <v>0.07</v>
      </c>
      <c r="AI28" s="294">
        <f t="array" ref="AI28">INDEX(Royalty_Fee,AI$2)</f>
        <v>0.07</v>
      </c>
      <c r="AJ28" s="294">
        <f t="array" ref="AJ28">INDEX(Royalty_Fee,AJ$2)</f>
        <v>0.07</v>
      </c>
      <c r="AK28" s="294">
        <f t="array" ref="AK28">INDEX(Royalty_Fee,AK$2)</f>
        <v>0.07</v>
      </c>
      <c r="AL28" s="294">
        <f t="array" ref="AL28">INDEX(Royalty_Fee,AL$2)</f>
        <v>0.07</v>
      </c>
      <c r="AM28" s="294">
        <f t="array" ref="AM28">INDEX(Royalty_Fee,AM$2)</f>
        <v>0.07</v>
      </c>
      <c r="AN28" s="294">
        <f t="array" ref="AN28">INDEX(Royalty_Fee,AN$2)</f>
        <v>0.07</v>
      </c>
      <c r="AO28" s="294">
        <f t="array" ref="AO28">INDEX(Royalty_Fee,AO$2)</f>
        <v>0.07</v>
      </c>
      <c r="AP28" s="294">
        <f t="array" ref="AP28">INDEX(Royalty_Fee,AP$2)</f>
        <v>0.07</v>
      </c>
      <c r="AQ28" s="294">
        <f t="array" ref="AQ28">INDEX(Royalty_Fee,AQ$2)</f>
        <v>0.07</v>
      </c>
      <c r="AR28" s="294">
        <f t="array" ref="AR28">INDEX(Royalty_Fee,AR$2)</f>
        <v>0.07</v>
      </c>
      <c r="AS28" s="294">
        <f t="array" ref="AS28">INDEX(Royalty_Fee,AS$2)</f>
        <v>0.07</v>
      </c>
      <c r="AT28" s="294">
        <f t="array" ref="AT28">INDEX(Royalty_Fee,AT$2)</f>
        <v>0.07</v>
      </c>
      <c r="AU28" s="294">
        <f t="array" ref="AU28">INDEX(Royalty_Fee,AU$2)</f>
        <v>0.07</v>
      </c>
      <c r="AV28" s="294">
        <f t="array" ref="AV28">INDEX(Royalty_Fee,AV$2)</f>
        <v>0.07</v>
      </c>
      <c r="AW28" s="294">
        <f t="array" ref="AW28">INDEX(Royalty_Fee,AW$2)</f>
        <v>0.07</v>
      </c>
      <c r="AX28" s="294">
        <f t="array" ref="AX28">INDEX(Royalty_Fee,AX$2)</f>
        <v>0.07</v>
      </c>
      <c r="AY28" s="294">
        <f t="array" ref="AY28">INDEX(Royalty_Fee,AY$2)</f>
        <v>0.07</v>
      </c>
      <c r="AZ28" s="294">
        <f t="array" ref="AZ28">INDEX(Royalty_Fee,AZ$2)</f>
        <v>0.07</v>
      </c>
      <c r="BA28" s="294">
        <f t="array" ref="BA28">INDEX(Royalty_Fee,BA$2)</f>
        <v>0.07</v>
      </c>
      <c r="BB28" s="294">
        <f t="array" ref="BB28">INDEX(Royalty_Fee,BB$2)</f>
        <v>0.07</v>
      </c>
      <c r="BC28" s="294">
        <f t="array" ref="BC28">INDEX(Royalty_Fee,BC$2)</f>
        <v>0.07</v>
      </c>
      <c r="BD28" s="294">
        <f t="array" ref="BD28">INDEX(Royalty_Fee,BD$2)</f>
        <v>0.07</v>
      </c>
      <c r="BE28" s="294">
        <f t="array" ref="BE28">INDEX(Royalty_Fee,BE$2)</f>
        <v>0.07</v>
      </c>
      <c r="BF28" s="294">
        <f t="array" ref="BF28">INDEX(Royalty_Fee,BF$2)</f>
        <v>0.07</v>
      </c>
      <c r="BG28" s="294">
        <f t="array" ref="BG28">INDEX(Royalty_Fee,BG$2)</f>
        <v>0.07</v>
      </c>
      <c r="BH28" s="294">
        <f t="array" ref="BH28">INDEX(Royalty_Fee,BH$2)</f>
        <v>0.07</v>
      </c>
      <c r="BI28" s="294">
        <f t="array" ref="BI28">INDEX(Royalty_Fee,BI$2)</f>
        <v>0.07</v>
      </c>
      <c r="BJ28" s="294">
        <f t="array" ref="BJ28">INDEX(Royalty_Fee,BJ$2)</f>
        <v>0.07</v>
      </c>
      <c r="BK28" s="294">
        <f t="array" ref="BK28">INDEX(Royalty_Fee,BK$2)</f>
        <v>0.07</v>
      </c>
      <c r="BL28" s="294">
        <f t="array" ref="BL28">INDEX(Royalty_Fee,BL$2)</f>
        <v>0.07</v>
      </c>
      <c r="BM28" s="294">
        <f t="array" ref="BM28">INDEX(Royalty_Fee,BM$2)</f>
        <v>0.07</v>
      </c>
      <c r="BN28" s="294">
        <f t="array" ref="BN28">INDEX(Royalty_Fee,BN$2)</f>
        <v>0.07</v>
      </c>
      <c r="BO28" s="294">
        <f t="array" ref="BO28">INDEX(Royalty_Fee,BO$2)</f>
        <v>0.07</v>
      </c>
      <c r="BP28" s="294">
        <f t="array" ref="BP28">INDEX(Royalty_Fee,BP$2)</f>
        <v>0.07</v>
      </c>
      <c r="BQ28" s="294">
        <f t="array" ref="BQ28">INDEX(Royalty_Fee,BQ$2)</f>
        <v>0.07</v>
      </c>
      <c r="BR28" s="294">
        <f t="array" ref="BR28">INDEX(Royalty_Fee,BR$2)</f>
        <v>0.07</v>
      </c>
      <c r="BS28" s="126"/>
    </row>
    <row r="29" ht="15.75" customHeight="1">
      <c r="A29" s="80"/>
      <c r="B29" s="296" t="s">
        <v>157</v>
      </c>
      <c r="C29" s="122"/>
      <c r="D29" s="85"/>
      <c r="E29" s="130">
        <f t="shared" ref="E29:I29" si="16">SUMIFS($K29:$BR29,$K$2:$BR$2,E$1)</f>
        <v>-20272.19049</v>
      </c>
      <c r="F29" s="130">
        <f t="shared" si="16"/>
        <v>-35808.46659</v>
      </c>
      <c r="G29" s="130">
        <f t="shared" si="16"/>
        <v>-41551.4368</v>
      </c>
      <c r="H29" s="130">
        <f t="shared" si="16"/>
        <v>-45404.79757</v>
      </c>
      <c r="I29" s="130">
        <f t="shared" si="16"/>
        <v>-49173.37338</v>
      </c>
      <c r="J29" s="92"/>
      <c r="K29" s="130">
        <f t="shared" ref="K29:BR29" si="17">-K28*K$26</f>
        <v>-922.2395</v>
      </c>
      <c r="L29" s="130">
        <f t="shared" si="17"/>
        <v>-1161.33863</v>
      </c>
      <c r="M29" s="130">
        <f t="shared" si="17"/>
        <v>-1280.888194</v>
      </c>
      <c r="N29" s="130">
        <f t="shared" si="17"/>
        <v>-1400.437759</v>
      </c>
      <c r="O29" s="130">
        <f t="shared" si="17"/>
        <v>-1519.987324</v>
      </c>
      <c r="P29" s="130">
        <f t="shared" si="17"/>
        <v>-1639.536889</v>
      </c>
      <c r="Q29" s="130">
        <f t="shared" si="17"/>
        <v>-1759.086454</v>
      </c>
      <c r="R29" s="130">
        <f t="shared" si="17"/>
        <v>-1878.636019</v>
      </c>
      <c r="S29" s="130">
        <f t="shared" si="17"/>
        <v>-1998.185583</v>
      </c>
      <c r="T29" s="130">
        <f t="shared" si="17"/>
        <v>-2117.735148</v>
      </c>
      <c r="U29" s="130">
        <f t="shared" si="17"/>
        <v>-2237.284713</v>
      </c>
      <c r="V29" s="130">
        <f t="shared" si="17"/>
        <v>-2356.834278</v>
      </c>
      <c r="W29" s="130">
        <f t="shared" si="17"/>
        <v>-2476.383843</v>
      </c>
      <c r="X29" s="130">
        <f t="shared" si="17"/>
        <v>-2595.933407</v>
      </c>
      <c r="Y29" s="130">
        <f t="shared" si="17"/>
        <v>-2715.482972</v>
      </c>
      <c r="Z29" s="130">
        <f t="shared" si="17"/>
        <v>-2835.032537</v>
      </c>
      <c r="AA29" s="130">
        <f t="shared" si="17"/>
        <v>-2954.582102</v>
      </c>
      <c r="AB29" s="130">
        <f t="shared" si="17"/>
        <v>-3074.131667</v>
      </c>
      <c r="AC29" s="130">
        <f t="shared" si="17"/>
        <v>-3107.43476</v>
      </c>
      <c r="AD29" s="130">
        <f t="shared" si="17"/>
        <v>-3141.098636</v>
      </c>
      <c r="AE29" s="130">
        <f t="shared" si="17"/>
        <v>-3175.127205</v>
      </c>
      <c r="AF29" s="130">
        <f t="shared" si="17"/>
        <v>-3209.524416</v>
      </c>
      <c r="AG29" s="130">
        <f t="shared" si="17"/>
        <v>-3244.294264</v>
      </c>
      <c r="AH29" s="130">
        <f t="shared" si="17"/>
        <v>-3279.440785</v>
      </c>
      <c r="AI29" s="130">
        <f t="shared" si="17"/>
        <v>-3306.769458</v>
      </c>
      <c r="AJ29" s="130">
        <f t="shared" si="17"/>
        <v>-3334.325871</v>
      </c>
      <c r="AK29" s="130">
        <f t="shared" si="17"/>
        <v>-3362.11192</v>
      </c>
      <c r="AL29" s="130">
        <f t="shared" si="17"/>
        <v>-3390.129519</v>
      </c>
      <c r="AM29" s="130">
        <f t="shared" si="17"/>
        <v>-3418.380598</v>
      </c>
      <c r="AN29" s="130">
        <f t="shared" si="17"/>
        <v>-3446.867103</v>
      </c>
      <c r="AO29" s="130">
        <f t="shared" si="17"/>
        <v>-3475.590996</v>
      </c>
      <c r="AP29" s="130">
        <f t="shared" si="17"/>
        <v>-3504.554254</v>
      </c>
      <c r="AQ29" s="130">
        <f t="shared" si="17"/>
        <v>-3533.758873</v>
      </c>
      <c r="AR29" s="130">
        <f t="shared" si="17"/>
        <v>-3563.206863</v>
      </c>
      <c r="AS29" s="130">
        <f t="shared" si="17"/>
        <v>-3592.900254</v>
      </c>
      <c r="AT29" s="130">
        <f t="shared" si="17"/>
        <v>-3622.841089</v>
      </c>
      <c r="AU29" s="130">
        <f t="shared" si="17"/>
        <v>-3646.993363</v>
      </c>
      <c r="AV29" s="130">
        <f t="shared" si="17"/>
        <v>-3671.306652</v>
      </c>
      <c r="AW29" s="130">
        <f t="shared" si="17"/>
        <v>-3695.78203</v>
      </c>
      <c r="AX29" s="130">
        <f t="shared" si="17"/>
        <v>-3720.420577</v>
      </c>
      <c r="AY29" s="130">
        <f t="shared" si="17"/>
        <v>-3745.223381</v>
      </c>
      <c r="AZ29" s="130">
        <f t="shared" si="17"/>
        <v>-3770.191537</v>
      </c>
      <c r="BA29" s="130">
        <f t="shared" si="17"/>
        <v>-3795.326147</v>
      </c>
      <c r="BB29" s="130">
        <f t="shared" si="17"/>
        <v>-3820.628321</v>
      </c>
      <c r="BC29" s="130">
        <f t="shared" si="17"/>
        <v>-3846.099177</v>
      </c>
      <c r="BD29" s="130">
        <f t="shared" si="17"/>
        <v>-3871.739838</v>
      </c>
      <c r="BE29" s="130">
        <f t="shared" si="17"/>
        <v>-3897.551437</v>
      </c>
      <c r="BF29" s="130">
        <f t="shared" si="17"/>
        <v>-3923.535113</v>
      </c>
      <c r="BG29" s="130">
        <f t="shared" si="17"/>
        <v>-3949.692014</v>
      </c>
      <c r="BH29" s="130">
        <f t="shared" si="17"/>
        <v>-3976.023294</v>
      </c>
      <c r="BI29" s="130">
        <f t="shared" si="17"/>
        <v>-4002.530116</v>
      </c>
      <c r="BJ29" s="130">
        <f t="shared" si="17"/>
        <v>-4029.21365</v>
      </c>
      <c r="BK29" s="130">
        <f t="shared" si="17"/>
        <v>-4056.075074</v>
      </c>
      <c r="BL29" s="130">
        <f t="shared" si="17"/>
        <v>-4083.115575</v>
      </c>
      <c r="BM29" s="130">
        <f t="shared" si="17"/>
        <v>-4110.336345</v>
      </c>
      <c r="BN29" s="130">
        <f t="shared" si="17"/>
        <v>-4137.738588</v>
      </c>
      <c r="BO29" s="130">
        <f t="shared" si="17"/>
        <v>-4165.323512</v>
      </c>
      <c r="BP29" s="130">
        <f t="shared" si="17"/>
        <v>-4193.092335</v>
      </c>
      <c r="BQ29" s="130">
        <f t="shared" si="17"/>
        <v>-4221.046284</v>
      </c>
      <c r="BR29" s="130">
        <f t="shared" si="17"/>
        <v>-4249.186592</v>
      </c>
      <c r="BS29" s="75"/>
    </row>
    <row r="30" ht="7.5" customHeight="1">
      <c r="A30" s="80"/>
      <c r="B30" s="297"/>
      <c r="C30" s="81"/>
      <c r="D30" s="82"/>
      <c r="E30" s="82"/>
      <c r="F30" s="82"/>
      <c r="G30" s="82"/>
      <c r="H30" s="82"/>
      <c r="I30" s="82"/>
      <c r="J30" s="92"/>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82"/>
    </row>
    <row r="31" ht="15.75" customHeight="1">
      <c r="A31" s="91"/>
      <c r="B31" s="295" t="s">
        <v>295</v>
      </c>
      <c r="C31" s="126"/>
      <c r="D31" s="284"/>
      <c r="E31" s="293">
        <f t="shared" ref="E31:I31" si="18">AVERAGEIFS($K31:$BR31,$K$2:$BR$2,E$1)</f>
        <v>0</v>
      </c>
      <c r="F31" s="293">
        <f t="shared" si="18"/>
        <v>0</v>
      </c>
      <c r="G31" s="293">
        <f t="shared" si="18"/>
        <v>0</v>
      </c>
      <c r="H31" s="293">
        <f t="shared" si="18"/>
        <v>0</v>
      </c>
      <c r="I31" s="293">
        <f t="shared" si="18"/>
        <v>0</v>
      </c>
      <c r="J31" s="92"/>
      <c r="K31" s="294">
        <f t="array" ref="K31">INDEX(Marketing_Fee,K$2)</f>
        <v>0</v>
      </c>
      <c r="L31" s="294">
        <f t="array" ref="L31">INDEX(Marketing_Fee,L$2)</f>
        <v>0</v>
      </c>
      <c r="M31" s="294">
        <f t="array" ref="M31">INDEX(Marketing_Fee,M$2)</f>
        <v>0</v>
      </c>
      <c r="N31" s="294">
        <f t="array" ref="N31">INDEX(Marketing_Fee,N$2)</f>
        <v>0</v>
      </c>
      <c r="O31" s="294">
        <f t="array" ref="O31">INDEX(Marketing_Fee,O$2)</f>
        <v>0</v>
      </c>
      <c r="P31" s="294">
        <f t="array" ref="P31">INDEX(Marketing_Fee,P$2)</f>
        <v>0</v>
      </c>
      <c r="Q31" s="294">
        <f t="array" ref="Q31">INDEX(Marketing_Fee,Q$2)</f>
        <v>0</v>
      </c>
      <c r="R31" s="294">
        <f t="array" ref="R31">INDEX(Marketing_Fee,R$2)</f>
        <v>0</v>
      </c>
      <c r="S31" s="294">
        <f t="array" ref="S31">INDEX(Marketing_Fee,S$2)</f>
        <v>0</v>
      </c>
      <c r="T31" s="294">
        <f t="array" ref="T31">INDEX(Marketing_Fee,T$2)</f>
        <v>0</v>
      </c>
      <c r="U31" s="294">
        <f t="array" ref="U31">INDEX(Marketing_Fee,U$2)</f>
        <v>0</v>
      </c>
      <c r="V31" s="294">
        <f t="array" ref="V31">INDEX(Marketing_Fee,V$2)</f>
        <v>0</v>
      </c>
      <c r="W31" s="294">
        <f t="array" ref="W31">INDEX(Marketing_Fee,W$2)</f>
        <v>0</v>
      </c>
      <c r="X31" s="294">
        <f t="array" ref="X31">INDEX(Marketing_Fee,X$2)</f>
        <v>0</v>
      </c>
      <c r="Y31" s="294">
        <f t="array" ref="Y31">INDEX(Marketing_Fee,Y$2)</f>
        <v>0</v>
      </c>
      <c r="Z31" s="294">
        <f t="array" ref="Z31">INDEX(Marketing_Fee,Z$2)</f>
        <v>0</v>
      </c>
      <c r="AA31" s="294">
        <f t="array" ref="AA31">INDEX(Marketing_Fee,AA$2)</f>
        <v>0</v>
      </c>
      <c r="AB31" s="294">
        <f t="array" ref="AB31">INDEX(Marketing_Fee,AB$2)</f>
        <v>0</v>
      </c>
      <c r="AC31" s="294">
        <f t="array" ref="AC31">INDEX(Marketing_Fee,AC$2)</f>
        <v>0</v>
      </c>
      <c r="AD31" s="294">
        <f t="array" ref="AD31">INDEX(Marketing_Fee,AD$2)</f>
        <v>0</v>
      </c>
      <c r="AE31" s="294">
        <f t="array" ref="AE31">INDEX(Marketing_Fee,AE$2)</f>
        <v>0</v>
      </c>
      <c r="AF31" s="294">
        <f t="array" ref="AF31">INDEX(Marketing_Fee,AF$2)</f>
        <v>0</v>
      </c>
      <c r="AG31" s="294">
        <f t="array" ref="AG31">INDEX(Marketing_Fee,AG$2)</f>
        <v>0</v>
      </c>
      <c r="AH31" s="294">
        <f t="array" ref="AH31">INDEX(Marketing_Fee,AH$2)</f>
        <v>0</v>
      </c>
      <c r="AI31" s="294">
        <f t="array" ref="AI31">INDEX(Marketing_Fee,AI$2)</f>
        <v>0</v>
      </c>
      <c r="AJ31" s="294">
        <f t="array" ref="AJ31">INDEX(Marketing_Fee,AJ$2)</f>
        <v>0</v>
      </c>
      <c r="AK31" s="294">
        <f t="array" ref="AK31">INDEX(Marketing_Fee,AK$2)</f>
        <v>0</v>
      </c>
      <c r="AL31" s="294">
        <f t="array" ref="AL31">INDEX(Marketing_Fee,AL$2)</f>
        <v>0</v>
      </c>
      <c r="AM31" s="294">
        <f t="array" ref="AM31">INDEX(Marketing_Fee,AM$2)</f>
        <v>0</v>
      </c>
      <c r="AN31" s="294">
        <f t="array" ref="AN31">INDEX(Marketing_Fee,AN$2)</f>
        <v>0</v>
      </c>
      <c r="AO31" s="294">
        <f t="array" ref="AO31">INDEX(Marketing_Fee,AO$2)</f>
        <v>0</v>
      </c>
      <c r="AP31" s="294">
        <f t="array" ref="AP31">INDEX(Marketing_Fee,AP$2)</f>
        <v>0</v>
      </c>
      <c r="AQ31" s="294">
        <f t="array" ref="AQ31">INDEX(Marketing_Fee,AQ$2)</f>
        <v>0</v>
      </c>
      <c r="AR31" s="294">
        <f t="array" ref="AR31">INDEX(Marketing_Fee,AR$2)</f>
        <v>0</v>
      </c>
      <c r="AS31" s="294">
        <f t="array" ref="AS31">INDEX(Marketing_Fee,AS$2)</f>
        <v>0</v>
      </c>
      <c r="AT31" s="294">
        <f t="array" ref="AT31">INDEX(Marketing_Fee,AT$2)</f>
        <v>0</v>
      </c>
      <c r="AU31" s="294">
        <f t="array" ref="AU31">INDEX(Marketing_Fee,AU$2)</f>
        <v>0</v>
      </c>
      <c r="AV31" s="294">
        <f t="array" ref="AV31">INDEX(Marketing_Fee,AV$2)</f>
        <v>0</v>
      </c>
      <c r="AW31" s="294">
        <f t="array" ref="AW31">INDEX(Marketing_Fee,AW$2)</f>
        <v>0</v>
      </c>
      <c r="AX31" s="294">
        <f t="array" ref="AX31">INDEX(Marketing_Fee,AX$2)</f>
        <v>0</v>
      </c>
      <c r="AY31" s="294">
        <f t="array" ref="AY31">INDEX(Marketing_Fee,AY$2)</f>
        <v>0</v>
      </c>
      <c r="AZ31" s="294">
        <f t="array" ref="AZ31">INDEX(Marketing_Fee,AZ$2)</f>
        <v>0</v>
      </c>
      <c r="BA31" s="294">
        <f t="array" ref="BA31">INDEX(Marketing_Fee,BA$2)</f>
        <v>0</v>
      </c>
      <c r="BB31" s="294">
        <f t="array" ref="BB31">INDEX(Marketing_Fee,BB$2)</f>
        <v>0</v>
      </c>
      <c r="BC31" s="294">
        <f t="array" ref="BC31">INDEX(Marketing_Fee,BC$2)</f>
        <v>0</v>
      </c>
      <c r="BD31" s="294">
        <f t="array" ref="BD31">INDEX(Marketing_Fee,BD$2)</f>
        <v>0</v>
      </c>
      <c r="BE31" s="294">
        <f t="array" ref="BE31">INDEX(Marketing_Fee,BE$2)</f>
        <v>0</v>
      </c>
      <c r="BF31" s="294">
        <f t="array" ref="BF31">INDEX(Marketing_Fee,BF$2)</f>
        <v>0</v>
      </c>
      <c r="BG31" s="294">
        <f t="array" ref="BG31">INDEX(Marketing_Fee,BG$2)</f>
        <v>0</v>
      </c>
      <c r="BH31" s="294">
        <f t="array" ref="BH31">INDEX(Marketing_Fee,BH$2)</f>
        <v>0</v>
      </c>
      <c r="BI31" s="294">
        <f t="array" ref="BI31">INDEX(Marketing_Fee,BI$2)</f>
        <v>0</v>
      </c>
      <c r="BJ31" s="294">
        <f t="array" ref="BJ31">INDEX(Marketing_Fee,BJ$2)</f>
        <v>0</v>
      </c>
      <c r="BK31" s="294">
        <f t="array" ref="BK31">INDEX(Marketing_Fee,BK$2)</f>
        <v>0</v>
      </c>
      <c r="BL31" s="294">
        <f t="array" ref="BL31">INDEX(Marketing_Fee,BL$2)</f>
        <v>0</v>
      </c>
      <c r="BM31" s="294">
        <f t="array" ref="BM31">INDEX(Marketing_Fee,BM$2)</f>
        <v>0</v>
      </c>
      <c r="BN31" s="294">
        <f t="array" ref="BN31">INDEX(Marketing_Fee,BN$2)</f>
        <v>0</v>
      </c>
      <c r="BO31" s="294">
        <f t="array" ref="BO31">INDEX(Marketing_Fee,BO$2)</f>
        <v>0</v>
      </c>
      <c r="BP31" s="294">
        <f t="array" ref="BP31">INDEX(Marketing_Fee,BP$2)</f>
        <v>0</v>
      </c>
      <c r="BQ31" s="294">
        <f t="array" ref="BQ31">INDEX(Marketing_Fee,BQ$2)</f>
        <v>0</v>
      </c>
      <c r="BR31" s="294">
        <f t="array" ref="BR31">INDEX(Marketing_Fee,BR$2)</f>
        <v>0</v>
      </c>
      <c r="BS31" s="126"/>
    </row>
    <row r="32" ht="15.75" customHeight="1">
      <c r="A32" s="80"/>
      <c r="B32" s="296" t="s">
        <v>158</v>
      </c>
      <c r="C32" s="122"/>
      <c r="D32" s="85"/>
      <c r="E32" s="130">
        <f t="shared" ref="E32:I32" si="19">SUMIFS($K32:$BR32,$K$2:$BR$2,E$1)</f>
        <v>0</v>
      </c>
      <c r="F32" s="130">
        <f t="shared" si="19"/>
        <v>0</v>
      </c>
      <c r="G32" s="130">
        <f t="shared" si="19"/>
        <v>0</v>
      </c>
      <c r="H32" s="130">
        <f t="shared" si="19"/>
        <v>0</v>
      </c>
      <c r="I32" s="130">
        <f t="shared" si="19"/>
        <v>0</v>
      </c>
      <c r="J32" s="92"/>
      <c r="K32" s="130">
        <f t="shared" ref="K32:BR32" si="20">-K31*K$26</f>
        <v>0</v>
      </c>
      <c r="L32" s="130">
        <f t="shared" si="20"/>
        <v>0</v>
      </c>
      <c r="M32" s="130">
        <f t="shared" si="20"/>
        <v>0</v>
      </c>
      <c r="N32" s="130">
        <f t="shared" si="20"/>
        <v>0</v>
      </c>
      <c r="O32" s="130">
        <f t="shared" si="20"/>
        <v>0</v>
      </c>
      <c r="P32" s="130">
        <f t="shared" si="20"/>
        <v>0</v>
      </c>
      <c r="Q32" s="130">
        <f t="shared" si="20"/>
        <v>0</v>
      </c>
      <c r="R32" s="130">
        <f t="shared" si="20"/>
        <v>0</v>
      </c>
      <c r="S32" s="130">
        <f t="shared" si="20"/>
        <v>0</v>
      </c>
      <c r="T32" s="130">
        <f t="shared" si="20"/>
        <v>0</v>
      </c>
      <c r="U32" s="130">
        <f t="shared" si="20"/>
        <v>0</v>
      </c>
      <c r="V32" s="130">
        <f t="shared" si="20"/>
        <v>0</v>
      </c>
      <c r="W32" s="130">
        <f t="shared" si="20"/>
        <v>0</v>
      </c>
      <c r="X32" s="130">
        <f t="shared" si="20"/>
        <v>0</v>
      </c>
      <c r="Y32" s="130">
        <f t="shared" si="20"/>
        <v>0</v>
      </c>
      <c r="Z32" s="130">
        <f t="shared" si="20"/>
        <v>0</v>
      </c>
      <c r="AA32" s="130">
        <f t="shared" si="20"/>
        <v>0</v>
      </c>
      <c r="AB32" s="130">
        <f t="shared" si="20"/>
        <v>0</v>
      </c>
      <c r="AC32" s="130">
        <f t="shared" si="20"/>
        <v>0</v>
      </c>
      <c r="AD32" s="130">
        <f t="shared" si="20"/>
        <v>0</v>
      </c>
      <c r="AE32" s="130">
        <f t="shared" si="20"/>
        <v>0</v>
      </c>
      <c r="AF32" s="130">
        <f t="shared" si="20"/>
        <v>0</v>
      </c>
      <c r="AG32" s="130">
        <f t="shared" si="20"/>
        <v>0</v>
      </c>
      <c r="AH32" s="130">
        <f t="shared" si="20"/>
        <v>0</v>
      </c>
      <c r="AI32" s="130">
        <f t="shared" si="20"/>
        <v>0</v>
      </c>
      <c r="AJ32" s="130">
        <f t="shared" si="20"/>
        <v>0</v>
      </c>
      <c r="AK32" s="130">
        <f t="shared" si="20"/>
        <v>0</v>
      </c>
      <c r="AL32" s="130">
        <f t="shared" si="20"/>
        <v>0</v>
      </c>
      <c r="AM32" s="130">
        <f t="shared" si="20"/>
        <v>0</v>
      </c>
      <c r="AN32" s="130">
        <f t="shared" si="20"/>
        <v>0</v>
      </c>
      <c r="AO32" s="130">
        <f t="shared" si="20"/>
        <v>0</v>
      </c>
      <c r="AP32" s="130">
        <f t="shared" si="20"/>
        <v>0</v>
      </c>
      <c r="AQ32" s="130">
        <f t="shared" si="20"/>
        <v>0</v>
      </c>
      <c r="AR32" s="130">
        <f t="shared" si="20"/>
        <v>0</v>
      </c>
      <c r="AS32" s="130">
        <f t="shared" si="20"/>
        <v>0</v>
      </c>
      <c r="AT32" s="130">
        <f t="shared" si="20"/>
        <v>0</v>
      </c>
      <c r="AU32" s="130">
        <f t="shared" si="20"/>
        <v>0</v>
      </c>
      <c r="AV32" s="130">
        <f t="shared" si="20"/>
        <v>0</v>
      </c>
      <c r="AW32" s="130">
        <f t="shared" si="20"/>
        <v>0</v>
      </c>
      <c r="AX32" s="130">
        <f t="shared" si="20"/>
        <v>0</v>
      </c>
      <c r="AY32" s="130">
        <f t="shared" si="20"/>
        <v>0</v>
      </c>
      <c r="AZ32" s="130">
        <f t="shared" si="20"/>
        <v>0</v>
      </c>
      <c r="BA32" s="130">
        <f t="shared" si="20"/>
        <v>0</v>
      </c>
      <c r="BB32" s="130">
        <f t="shared" si="20"/>
        <v>0</v>
      </c>
      <c r="BC32" s="130">
        <f t="shared" si="20"/>
        <v>0</v>
      </c>
      <c r="BD32" s="130">
        <f t="shared" si="20"/>
        <v>0</v>
      </c>
      <c r="BE32" s="130">
        <f t="shared" si="20"/>
        <v>0</v>
      </c>
      <c r="BF32" s="130">
        <f t="shared" si="20"/>
        <v>0</v>
      </c>
      <c r="BG32" s="130">
        <f t="shared" si="20"/>
        <v>0</v>
      </c>
      <c r="BH32" s="130">
        <f t="shared" si="20"/>
        <v>0</v>
      </c>
      <c r="BI32" s="130">
        <f t="shared" si="20"/>
        <v>0</v>
      </c>
      <c r="BJ32" s="130">
        <f t="shared" si="20"/>
        <v>0</v>
      </c>
      <c r="BK32" s="130">
        <f t="shared" si="20"/>
        <v>0</v>
      </c>
      <c r="BL32" s="130">
        <f t="shared" si="20"/>
        <v>0</v>
      </c>
      <c r="BM32" s="130">
        <f t="shared" si="20"/>
        <v>0</v>
      </c>
      <c r="BN32" s="130">
        <f t="shared" si="20"/>
        <v>0</v>
      </c>
      <c r="BO32" s="130">
        <f t="shared" si="20"/>
        <v>0</v>
      </c>
      <c r="BP32" s="130">
        <f t="shared" si="20"/>
        <v>0</v>
      </c>
      <c r="BQ32" s="130">
        <f t="shared" si="20"/>
        <v>0</v>
      </c>
      <c r="BR32" s="130">
        <f t="shared" si="20"/>
        <v>0</v>
      </c>
      <c r="BS32" s="75"/>
    </row>
    <row r="33" ht="15.75" customHeight="1">
      <c r="A33" s="80"/>
      <c r="B33" s="122"/>
      <c r="C33" s="122"/>
      <c r="D33" s="122"/>
      <c r="E33" s="122"/>
      <c r="F33" s="122"/>
      <c r="G33" s="122"/>
      <c r="H33" s="122"/>
      <c r="I33" s="122"/>
      <c r="J33" s="9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row>
    <row r="34" ht="15.75" customHeight="1">
      <c r="A34" s="91"/>
      <c r="B34" s="295" t="s">
        <v>296</v>
      </c>
      <c r="C34" s="126"/>
      <c r="D34" s="284"/>
      <c r="E34" s="294">
        <f t="array" ref="E34">INDEX(Materials_COGs,E$1)</f>
        <v>0.32</v>
      </c>
      <c r="F34" s="294">
        <f t="array" ref="F34">INDEX(Materials_COGs,F$1)</f>
        <v>0.32</v>
      </c>
      <c r="G34" s="294">
        <f t="array" ref="G34">INDEX(Materials_COGs,G$1)</f>
        <v>0.32</v>
      </c>
      <c r="H34" s="294">
        <f t="array" ref="H34">INDEX(Materials_COGs,H$1)</f>
        <v>0.32</v>
      </c>
      <c r="I34" s="294">
        <f t="array" ref="I34">INDEX(Materials_COGs,I$1)</f>
        <v>0.32</v>
      </c>
      <c r="J34" s="92"/>
      <c r="K34" s="294">
        <f t="array" ref="K34">INDEX(Materials_COGs,K$2)</f>
        <v>0.32</v>
      </c>
      <c r="L34" s="294">
        <f t="array" ref="L34">INDEX(Materials_COGs,L$2)</f>
        <v>0.32</v>
      </c>
      <c r="M34" s="294">
        <f t="array" ref="M34">INDEX(Materials_COGs,M$2)</f>
        <v>0.32</v>
      </c>
      <c r="N34" s="294">
        <f t="array" ref="N34">INDEX(Materials_COGs,N$2)</f>
        <v>0.32</v>
      </c>
      <c r="O34" s="294">
        <f t="array" ref="O34">INDEX(Materials_COGs,O$2)</f>
        <v>0.32</v>
      </c>
      <c r="P34" s="294">
        <f t="array" ref="P34">INDEX(Materials_COGs,P$2)</f>
        <v>0.32</v>
      </c>
      <c r="Q34" s="294">
        <f t="array" ref="Q34">INDEX(Materials_COGs,Q$2)</f>
        <v>0.32</v>
      </c>
      <c r="R34" s="294">
        <f t="array" ref="R34">INDEX(Materials_COGs,R$2)</f>
        <v>0.32</v>
      </c>
      <c r="S34" s="294">
        <f t="array" ref="S34">INDEX(Materials_COGs,S$2)</f>
        <v>0.32</v>
      </c>
      <c r="T34" s="294">
        <f t="array" ref="T34">INDEX(Materials_COGs,T$2)</f>
        <v>0.32</v>
      </c>
      <c r="U34" s="294">
        <f t="array" ref="U34">INDEX(Materials_COGs,U$2)</f>
        <v>0.32</v>
      </c>
      <c r="V34" s="294">
        <f t="array" ref="V34">INDEX(Materials_COGs,V$2)</f>
        <v>0.32</v>
      </c>
      <c r="W34" s="294">
        <f t="array" ref="W34">INDEX(Materials_COGs,W$2)</f>
        <v>0.32</v>
      </c>
      <c r="X34" s="294">
        <f t="array" ref="X34">INDEX(Materials_COGs,X$2)</f>
        <v>0.32</v>
      </c>
      <c r="Y34" s="294">
        <f t="array" ref="Y34">INDEX(Materials_COGs,Y$2)</f>
        <v>0.32</v>
      </c>
      <c r="Z34" s="294">
        <f t="array" ref="Z34">INDEX(Materials_COGs,Z$2)</f>
        <v>0.32</v>
      </c>
      <c r="AA34" s="294">
        <f t="array" ref="AA34">INDEX(Materials_COGs,AA$2)</f>
        <v>0.32</v>
      </c>
      <c r="AB34" s="294">
        <f t="array" ref="AB34">INDEX(Materials_COGs,AB$2)</f>
        <v>0.32</v>
      </c>
      <c r="AC34" s="294">
        <f t="array" ref="AC34">INDEX(Materials_COGs,AC$2)</f>
        <v>0.32</v>
      </c>
      <c r="AD34" s="294">
        <f t="array" ref="AD34">INDEX(Materials_COGs,AD$2)</f>
        <v>0.32</v>
      </c>
      <c r="AE34" s="294">
        <f t="array" ref="AE34">INDEX(Materials_COGs,AE$2)</f>
        <v>0.32</v>
      </c>
      <c r="AF34" s="294">
        <f t="array" ref="AF34">INDEX(Materials_COGs,AF$2)</f>
        <v>0.32</v>
      </c>
      <c r="AG34" s="294">
        <f t="array" ref="AG34">INDEX(Materials_COGs,AG$2)</f>
        <v>0.32</v>
      </c>
      <c r="AH34" s="294">
        <f t="array" ref="AH34">INDEX(Materials_COGs,AH$2)</f>
        <v>0.32</v>
      </c>
      <c r="AI34" s="294">
        <f t="array" ref="AI34">INDEX(Materials_COGs,AI$2)</f>
        <v>0.32</v>
      </c>
      <c r="AJ34" s="294">
        <f t="array" ref="AJ34">INDEX(Materials_COGs,AJ$2)</f>
        <v>0.32</v>
      </c>
      <c r="AK34" s="294">
        <f t="array" ref="AK34">INDEX(Materials_COGs,AK$2)</f>
        <v>0.32</v>
      </c>
      <c r="AL34" s="294">
        <f t="array" ref="AL34">INDEX(Materials_COGs,AL$2)</f>
        <v>0.32</v>
      </c>
      <c r="AM34" s="294">
        <f t="array" ref="AM34">INDEX(Materials_COGs,AM$2)</f>
        <v>0.32</v>
      </c>
      <c r="AN34" s="294">
        <f t="array" ref="AN34">INDEX(Materials_COGs,AN$2)</f>
        <v>0.32</v>
      </c>
      <c r="AO34" s="294">
        <f t="array" ref="AO34">INDEX(Materials_COGs,AO$2)</f>
        <v>0.32</v>
      </c>
      <c r="AP34" s="294">
        <f t="array" ref="AP34">INDEX(Materials_COGs,AP$2)</f>
        <v>0.32</v>
      </c>
      <c r="AQ34" s="294">
        <f t="array" ref="AQ34">INDEX(Materials_COGs,AQ$2)</f>
        <v>0.32</v>
      </c>
      <c r="AR34" s="294">
        <f t="array" ref="AR34">INDEX(Materials_COGs,AR$2)</f>
        <v>0.32</v>
      </c>
      <c r="AS34" s="294">
        <f t="array" ref="AS34">INDEX(Materials_COGs,AS$2)</f>
        <v>0.32</v>
      </c>
      <c r="AT34" s="294">
        <f t="array" ref="AT34">INDEX(Materials_COGs,AT$2)</f>
        <v>0.32</v>
      </c>
      <c r="AU34" s="294">
        <f t="array" ref="AU34">INDEX(Materials_COGs,AU$2)</f>
        <v>0.32</v>
      </c>
      <c r="AV34" s="294">
        <f t="array" ref="AV34">INDEX(Materials_COGs,AV$2)</f>
        <v>0.32</v>
      </c>
      <c r="AW34" s="294">
        <f t="array" ref="AW34">INDEX(Materials_COGs,AW$2)</f>
        <v>0.32</v>
      </c>
      <c r="AX34" s="294">
        <f t="array" ref="AX34">INDEX(Materials_COGs,AX$2)</f>
        <v>0.32</v>
      </c>
      <c r="AY34" s="294">
        <f t="array" ref="AY34">INDEX(Materials_COGs,AY$2)</f>
        <v>0.32</v>
      </c>
      <c r="AZ34" s="294">
        <f t="array" ref="AZ34">INDEX(Materials_COGs,AZ$2)</f>
        <v>0.32</v>
      </c>
      <c r="BA34" s="294">
        <f t="array" ref="BA34">INDEX(Materials_COGs,BA$2)</f>
        <v>0.32</v>
      </c>
      <c r="BB34" s="294">
        <f t="array" ref="BB34">INDEX(Materials_COGs,BB$2)</f>
        <v>0.32</v>
      </c>
      <c r="BC34" s="294">
        <f t="array" ref="BC34">INDEX(Materials_COGs,BC$2)</f>
        <v>0.32</v>
      </c>
      <c r="BD34" s="294">
        <f t="array" ref="BD34">INDEX(Materials_COGs,BD$2)</f>
        <v>0.32</v>
      </c>
      <c r="BE34" s="294">
        <f t="array" ref="BE34">INDEX(Materials_COGs,BE$2)</f>
        <v>0.32</v>
      </c>
      <c r="BF34" s="294">
        <f t="array" ref="BF34">INDEX(Materials_COGs,BF$2)</f>
        <v>0.32</v>
      </c>
      <c r="BG34" s="294">
        <f t="array" ref="BG34">INDEX(Materials_COGs,BG$2)</f>
        <v>0.32</v>
      </c>
      <c r="BH34" s="294">
        <f t="array" ref="BH34">INDEX(Materials_COGs,BH$2)</f>
        <v>0.32</v>
      </c>
      <c r="BI34" s="294">
        <f t="array" ref="BI34">INDEX(Materials_COGs,BI$2)</f>
        <v>0.32</v>
      </c>
      <c r="BJ34" s="294">
        <f t="array" ref="BJ34">INDEX(Materials_COGs,BJ$2)</f>
        <v>0.32</v>
      </c>
      <c r="BK34" s="294">
        <f t="array" ref="BK34">INDEX(Materials_COGs,BK$2)</f>
        <v>0.32</v>
      </c>
      <c r="BL34" s="294">
        <f t="array" ref="BL34">INDEX(Materials_COGs,BL$2)</f>
        <v>0.32</v>
      </c>
      <c r="BM34" s="294">
        <f t="array" ref="BM34">INDEX(Materials_COGs,BM$2)</f>
        <v>0.32</v>
      </c>
      <c r="BN34" s="294">
        <f t="array" ref="BN34">INDEX(Materials_COGs,BN$2)</f>
        <v>0.32</v>
      </c>
      <c r="BO34" s="294">
        <f t="array" ref="BO34">INDEX(Materials_COGs,BO$2)</f>
        <v>0.32</v>
      </c>
      <c r="BP34" s="294">
        <f t="array" ref="BP34">INDEX(Materials_COGs,BP$2)</f>
        <v>0.32</v>
      </c>
      <c r="BQ34" s="294">
        <f t="array" ref="BQ34">INDEX(Materials_COGs,BQ$2)</f>
        <v>0.32</v>
      </c>
      <c r="BR34" s="294">
        <f t="array" ref="BR34">INDEX(Materials_COGs,BR$2)</f>
        <v>0.32</v>
      </c>
      <c r="BS34" s="126"/>
    </row>
    <row r="35" ht="15.75" customHeight="1">
      <c r="A35" s="80"/>
      <c r="B35" s="296" t="s">
        <v>156</v>
      </c>
      <c r="C35" s="122"/>
      <c r="D35" s="85"/>
      <c r="E35" s="130">
        <f t="shared" ref="E35:I35" si="21">SUMIFS($K35:$BR35,$K$2:$BR$2,E$1)</f>
        <v>-92672.87081</v>
      </c>
      <c r="F35" s="130">
        <f t="shared" si="21"/>
        <v>-163695.8473</v>
      </c>
      <c r="G35" s="130">
        <f t="shared" si="21"/>
        <v>-189949.4254</v>
      </c>
      <c r="H35" s="130">
        <f t="shared" si="21"/>
        <v>-207564.7889</v>
      </c>
      <c r="I35" s="130">
        <f t="shared" si="21"/>
        <v>-224792.564</v>
      </c>
      <c r="J35" s="92"/>
      <c r="K35" s="130">
        <f t="shared" ref="K35:BR35" si="22">-K34*K$26</f>
        <v>-4215.952</v>
      </c>
      <c r="L35" s="130">
        <f t="shared" si="22"/>
        <v>-5308.976593</v>
      </c>
      <c r="M35" s="130">
        <f t="shared" si="22"/>
        <v>-5855.488889</v>
      </c>
      <c r="N35" s="130">
        <f t="shared" si="22"/>
        <v>-6402.001185</v>
      </c>
      <c r="O35" s="130">
        <f t="shared" si="22"/>
        <v>-6948.513481</v>
      </c>
      <c r="P35" s="130">
        <f t="shared" si="22"/>
        <v>-7495.025778</v>
      </c>
      <c r="Q35" s="130">
        <f t="shared" si="22"/>
        <v>-8041.538074</v>
      </c>
      <c r="R35" s="130">
        <f t="shared" si="22"/>
        <v>-8588.05037</v>
      </c>
      <c r="S35" s="130">
        <f t="shared" si="22"/>
        <v>-9134.562667</v>
      </c>
      <c r="T35" s="130">
        <f t="shared" si="22"/>
        <v>-9681.074963</v>
      </c>
      <c r="U35" s="130">
        <f t="shared" si="22"/>
        <v>-10227.58726</v>
      </c>
      <c r="V35" s="130">
        <f t="shared" si="22"/>
        <v>-10774.09956</v>
      </c>
      <c r="W35" s="130">
        <f t="shared" si="22"/>
        <v>-11320.61185</v>
      </c>
      <c r="X35" s="130">
        <f t="shared" si="22"/>
        <v>-11867.12415</v>
      </c>
      <c r="Y35" s="130">
        <f t="shared" si="22"/>
        <v>-12413.63644</v>
      </c>
      <c r="Z35" s="130">
        <f t="shared" si="22"/>
        <v>-12960.14874</v>
      </c>
      <c r="AA35" s="130">
        <f t="shared" si="22"/>
        <v>-13506.66104</v>
      </c>
      <c r="AB35" s="130">
        <f t="shared" si="22"/>
        <v>-14053.17333</v>
      </c>
      <c r="AC35" s="130">
        <f t="shared" si="22"/>
        <v>-14205.41604</v>
      </c>
      <c r="AD35" s="130">
        <f t="shared" si="22"/>
        <v>-14359.30805</v>
      </c>
      <c r="AE35" s="130">
        <f t="shared" si="22"/>
        <v>-14514.86722</v>
      </c>
      <c r="AF35" s="130">
        <f t="shared" si="22"/>
        <v>-14672.11162</v>
      </c>
      <c r="AG35" s="130">
        <f t="shared" si="22"/>
        <v>-14831.05949</v>
      </c>
      <c r="AH35" s="130">
        <f t="shared" si="22"/>
        <v>-14991.7293</v>
      </c>
      <c r="AI35" s="130">
        <f t="shared" si="22"/>
        <v>-15116.66038</v>
      </c>
      <c r="AJ35" s="130">
        <f t="shared" si="22"/>
        <v>-15242.63255</v>
      </c>
      <c r="AK35" s="130">
        <f t="shared" si="22"/>
        <v>-15369.65449</v>
      </c>
      <c r="AL35" s="130">
        <f t="shared" si="22"/>
        <v>-15497.73494</v>
      </c>
      <c r="AM35" s="130">
        <f t="shared" si="22"/>
        <v>-15626.88273</v>
      </c>
      <c r="AN35" s="130">
        <f t="shared" si="22"/>
        <v>-15757.10676</v>
      </c>
      <c r="AO35" s="130">
        <f t="shared" si="22"/>
        <v>-15888.41598</v>
      </c>
      <c r="AP35" s="130">
        <f t="shared" si="22"/>
        <v>-16020.81945</v>
      </c>
      <c r="AQ35" s="130">
        <f t="shared" si="22"/>
        <v>-16154.32628</v>
      </c>
      <c r="AR35" s="130">
        <f t="shared" si="22"/>
        <v>-16288.94566</v>
      </c>
      <c r="AS35" s="130">
        <f t="shared" si="22"/>
        <v>-16424.68688</v>
      </c>
      <c r="AT35" s="130">
        <f t="shared" si="22"/>
        <v>-16561.55927</v>
      </c>
      <c r="AU35" s="130">
        <f t="shared" si="22"/>
        <v>-16671.96966</v>
      </c>
      <c r="AV35" s="130">
        <f t="shared" si="22"/>
        <v>-16783.11613</v>
      </c>
      <c r="AW35" s="130">
        <f t="shared" si="22"/>
        <v>-16895.00357</v>
      </c>
      <c r="AX35" s="130">
        <f t="shared" si="22"/>
        <v>-17007.63692</v>
      </c>
      <c r="AY35" s="130">
        <f t="shared" si="22"/>
        <v>-17121.02117</v>
      </c>
      <c r="AZ35" s="130">
        <f t="shared" si="22"/>
        <v>-17235.16131</v>
      </c>
      <c r="BA35" s="130">
        <f t="shared" si="22"/>
        <v>-17350.06239</v>
      </c>
      <c r="BB35" s="130">
        <f t="shared" si="22"/>
        <v>-17465.72947</v>
      </c>
      <c r="BC35" s="130">
        <f t="shared" si="22"/>
        <v>-17582.16766</v>
      </c>
      <c r="BD35" s="130">
        <f t="shared" si="22"/>
        <v>-17699.38212</v>
      </c>
      <c r="BE35" s="130">
        <f t="shared" si="22"/>
        <v>-17817.378</v>
      </c>
      <c r="BF35" s="130">
        <f t="shared" si="22"/>
        <v>-17936.16052</v>
      </c>
      <c r="BG35" s="130">
        <f t="shared" si="22"/>
        <v>-18055.73492</v>
      </c>
      <c r="BH35" s="130">
        <f t="shared" si="22"/>
        <v>-18176.10649</v>
      </c>
      <c r="BI35" s="130">
        <f t="shared" si="22"/>
        <v>-18297.28053</v>
      </c>
      <c r="BJ35" s="130">
        <f t="shared" si="22"/>
        <v>-18419.2624</v>
      </c>
      <c r="BK35" s="130">
        <f t="shared" si="22"/>
        <v>-18542.05748</v>
      </c>
      <c r="BL35" s="130">
        <f t="shared" si="22"/>
        <v>-18665.6712</v>
      </c>
      <c r="BM35" s="130">
        <f t="shared" si="22"/>
        <v>-18790.10901</v>
      </c>
      <c r="BN35" s="130">
        <f t="shared" si="22"/>
        <v>-18915.3764</v>
      </c>
      <c r="BO35" s="130">
        <f t="shared" si="22"/>
        <v>-19041.47891</v>
      </c>
      <c r="BP35" s="130">
        <f t="shared" si="22"/>
        <v>-19168.4221</v>
      </c>
      <c r="BQ35" s="130">
        <f t="shared" si="22"/>
        <v>-19296.21158</v>
      </c>
      <c r="BR35" s="130">
        <f t="shared" si="22"/>
        <v>-19424.85299</v>
      </c>
      <c r="BS35" s="75"/>
    </row>
    <row r="36" ht="7.5" customHeight="1">
      <c r="A36" s="80"/>
      <c r="B36" s="297"/>
      <c r="C36" s="81"/>
      <c r="D36" s="82"/>
      <c r="E36" s="82"/>
      <c r="F36" s="82"/>
      <c r="G36" s="82"/>
      <c r="H36" s="82"/>
      <c r="I36" s="82"/>
      <c r="J36" s="92"/>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82"/>
    </row>
    <row r="37" ht="15.75" customHeight="1">
      <c r="A37" s="91"/>
      <c r="B37" s="295" t="s">
        <v>160</v>
      </c>
      <c r="C37" s="126"/>
      <c r="D37" s="284"/>
      <c r="E37" s="293">
        <f t="shared" ref="E37:I37" si="23">AVERAGEIFS($K37:$BR37,$K$2:$BR$2,E$1)</f>
        <v>0.61</v>
      </c>
      <c r="F37" s="293">
        <f t="shared" si="23"/>
        <v>0.61</v>
      </c>
      <c r="G37" s="293">
        <f t="shared" si="23"/>
        <v>0.61</v>
      </c>
      <c r="H37" s="293">
        <f t="shared" si="23"/>
        <v>0.61</v>
      </c>
      <c r="I37" s="293">
        <f t="shared" si="23"/>
        <v>0.61</v>
      </c>
      <c r="J37" s="92"/>
      <c r="K37" s="294">
        <f t="shared" ref="K37:BR37" si="24">IFERROR(K38/K26,0)</f>
        <v>0.61</v>
      </c>
      <c r="L37" s="294">
        <f t="shared" si="24"/>
        <v>0.61</v>
      </c>
      <c r="M37" s="294">
        <f t="shared" si="24"/>
        <v>0.61</v>
      </c>
      <c r="N37" s="294">
        <f t="shared" si="24"/>
        <v>0.61</v>
      </c>
      <c r="O37" s="294">
        <f t="shared" si="24"/>
        <v>0.61</v>
      </c>
      <c r="P37" s="294">
        <f t="shared" si="24"/>
        <v>0.61</v>
      </c>
      <c r="Q37" s="294">
        <f t="shared" si="24"/>
        <v>0.61</v>
      </c>
      <c r="R37" s="294">
        <f t="shared" si="24"/>
        <v>0.61</v>
      </c>
      <c r="S37" s="294">
        <f t="shared" si="24"/>
        <v>0.61</v>
      </c>
      <c r="T37" s="294">
        <f t="shared" si="24"/>
        <v>0.61</v>
      </c>
      <c r="U37" s="294">
        <f t="shared" si="24"/>
        <v>0.61</v>
      </c>
      <c r="V37" s="294">
        <f t="shared" si="24"/>
        <v>0.61</v>
      </c>
      <c r="W37" s="294">
        <f t="shared" si="24"/>
        <v>0.61</v>
      </c>
      <c r="X37" s="294">
        <f t="shared" si="24"/>
        <v>0.61</v>
      </c>
      <c r="Y37" s="294">
        <f t="shared" si="24"/>
        <v>0.61</v>
      </c>
      <c r="Z37" s="294">
        <f t="shared" si="24"/>
        <v>0.61</v>
      </c>
      <c r="AA37" s="294">
        <f t="shared" si="24"/>
        <v>0.61</v>
      </c>
      <c r="AB37" s="294">
        <f t="shared" si="24"/>
        <v>0.61</v>
      </c>
      <c r="AC37" s="294">
        <f t="shared" si="24"/>
        <v>0.61</v>
      </c>
      <c r="AD37" s="294">
        <f t="shared" si="24"/>
        <v>0.61</v>
      </c>
      <c r="AE37" s="294">
        <f t="shared" si="24"/>
        <v>0.61</v>
      </c>
      <c r="AF37" s="294">
        <f t="shared" si="24"/>
        <v>0.61</v>
      </c>
      <c r="AG37" s="294">
        <f t="shared" si="24"/>
        <v>0.61</v>
      </c>
      <c r="AH37" s="294">
        <f t="shared" si="24"/>
        <v>0.61</v>
      </c>
      <c r="AI37" s="294">
        <f t="shared" si="24"/>
        <v>0.61</v>
      </c>
      <c r="AJ37" s="294">
        <f t="shared" si="24"/>
        <v>0.61</v>
      </c>
      <c r="AK37" s="294">
        <f t="shared" si="24"/>
        <v>0.61</v>
      </c>
      <c r="AL37" s="294">
        <f t="shared" si="24"/>
        <v>0.61</v>
      </c>
      <c r="AM37" s="294">
        <f t="shared" si="24"/>
        <v>0.61</v>
      </c>
      <c r="AN37" s="294">
        <f t="shared" si="24"/>
        <v>0.61</v>
      </c>
      <c r="AO37" s="294">
        <f t="shared" si="24"/>
        <v>0.61</v>
      </c>
      <c r="AP37" s="294">
        <f t="shared" si="24"/>
        <v>0.61</v>
      </c>
      <c r="AQ37" s="294">
        <f t="shared" si="24"/>
        <v>0.61</v>
      </c>
      <c r="AR37" s="294">
        <f t="shared" si="24"/>
        <v>0.61</v>
      </c>
      <c r="AS37" s="294">
        <f t="shared" si="24"/>
        <v>0.61</v>
      </c>
      <c r="AT37" s="294">
        <f t="shared" si="24"/>
        <v>0.61</v>
      </c>
      <c r="AU37" s="294">
        <f t="shared" si="24"/>
        <v>0.61</v>
      </c>
      <c r="AV37" s="294">
        <f t="shared" si="24"/>
        <v>0.61</v>
      </c>
      <c r="AW37" s="294">
        <f t="shared" si="24"/>
        <v>0.61</v>
      </c>
      <c r="AX37" s="294">
        <f t="shared" si="24"/>
        <v>0.61</v>
      </c>
      <c r="AY37" s="294">
        <f t="shared" si="24"/>
        <v>0.61</v>
      </c>
      <c r="AZ37" s="294">
        <f t="shared" si="24"/>
        <v>0.61</v>
      </c>
      <c r="BA37" s="294">
        <f t="shared" si="24"/>
        <v>0.61</v>
      </c>
      <c r="BB37" s="294">
        <f t="shared" si="24"/>
        <v>0.61</v>
      </c>
      <c r="BC37" s="294">
        <f t="shared" si="24"/>
        <v>0.61</v>
      </c>
      <c r="BD37" s="294">
        <f t="shared" si="24"/>
        <v>0.61</v>
      </c>
      <c r="BE37" s="294">
        <f t="shared" si="24"/>
        <v>0.61</v>
      </c>
      <c r="BF37" s="294">
        <f t="shared" si="24"/>
        <v>0.61</v>
      </c>
      <c r="BG37" s="294">
        <f t="shared" si="24"/>
        <v>0.61</v>
      </c>
      <c r="BH37" s="294">
        <f t="shared" si="24"/>
        <v>0.61</v>
      </c>
      <c r="BI37" s="294">
        <f t="shared" si="24"/>
        <v>0.61</v>
      </c>
      <c r="BJ37" s="294">
        <f t="shared" si="24"/>
        <v>0.61</v>
      </c>
      <c r="BK37" s="294">
        <f t="shared" si="24"/>
        <v>0.61</v>
      </c>
      <c r="BL37" s="294">
        <f t="shared" si="24"/>
        <v>0.61</v>
      </c>
      <c r="BM37" s="294">
        <f t="shared" si="24"/>
        <v>0.61</v>
      </c>
      <c r="BN37" s="294">
        <f t="shared" si="24"/>
        <v>0.61</v>
      </c>
      <c r="BO37" s="294">
        <f t="shared" si="24"/>
        <v>0.61</v>
      </c>
      <c r="BP37" s="294">
        <f t="shared" si="24"/>
        <v>0.61</v>
      </c>
      <c r="BQ37" s="294">
        <f t="shared" si="24"/>
        <v>0.61</v>
      </c>
      <c r="BR37" s="294">
        <f t="shared" si="24"/>
        <v>0.61</v>
      </c>
      <c r="BS37" s="126"/>
    </row>
    <row r="38" ht="15.75" customHeight="1">
      <c r="A38" s="80"/>
      <c r="B38" s="131" t="s">
        <v>109</v>
      </c>
      <c r="C38" s="131"/>
      <c r="D38" s="102"/>
      <c r="E38" s="132">
        <f t="shared" ref="E38:I38" si="25">SUMIFS($K38:$BR38,$K$2:$BR$2,E$1)</f>
        <v>176657.66</v>
      </c>
      <c r="F38" s="132">
        <f t="shared" si="25"/>
        <v>312045.2089</v>
      </c>
      <c r="G38" s="132">
        <f t="shared" si="25"/>
        <v>362091.0921</v>
      </c>
      <c r="H38" s="132">
        <f t="shared" si="25"/>
        <v>395670.3788</v>
      </c>
      <c r="I38" s="132">
        <f t="shared" si="25"/>
        <v>428510.8252</v>
      </c>
      <c r="J38" s="92"/>
      <c r="K38" s="132">
        <f t="shared" ref="K38:BR38" si="26">K26+K29+K32+K35</f>
        <v>8036.6585</v>
      </c>
      <c r="L38" s="132">
        <f t="shared" si="26"/>
        <v>10120.23663</v>
      </c>
      <c r="M38" s="132">
        <f t="shared" si="26"/>
        <v>11162.02569</v>
      </c>
      <c r="N38" s="132">
        <f t="shared" si="26"/>
        <v>12203.81476</v>
      </c>
      <c r="O38" s="132">
        <f t="shared" si="26"/>
        <v>13245.60382</v>
      </c>
      <c r="P38" s="132">
        <f t="shared" si="26"/>
        <v>14287.39289</v>
      </c>
      <c r="Q38" s="132">
        <f t="shared" si="26"/>
        <v>15329.18195</v>
      </c>
      <c r="R38" s="132">
        <f t="shared" si="26"/>
        <v>16370.97102</v>
      </c>
      <c r="S38" s="132">
        <f t="shared" si="26"/>
        <v>17412.76008</v>
      </c>
      <c r="T38" s="132">
        <f t="shared" si="26"/>
        <v>18454.54915</v>
      </c>
      <c r="U38" s="132">
        <f t="shared" si="26"/>
        <v>19496.33821</v>
      </c>
      <c r="V38" s="132">
        <f t="shared" si="26"/>
        <v>20538.12728</v>
      </c>
      <c r="W38" s="132">
        <f t="shared" si="26"/>
        <v>21579.91634</v>
      </c>
      <c r="X38" s="132">
        <f t="shared" si="26"/>
        <v>22621.70541</v>
      </c>
      <c r="Y38" s="132">
        <f t="shared" si="26"/>
        <v>23663.49447</v>
      </c>
      <c r="Z38" s="132">
        <f t="shared" si="26"/>
        <v>24705.28354</v>
      </c>
      <c r="AA38" s="132">
        <f t="shared" si="26"/>
        <v>25747.0726</v>
      </c>
      <c r="AB38" s="132">
        <f t="shared" si="26"/>
        <v>26788.86167</v>
      </c>
      <c r="AC38" s="132">
        <f t="shared" si="26"/>
        <v>27079.07433</v>
      </c>
      <c r="AD38" s="132">
        <f t="shared" si="26"/>
        <v>27372.43097</v>
      </c>
      <c r="AE38" s="132">
        <f t="shared" si="26"/>
        <v>27668.96564</v>
      </c>
      <c r="AF38" s="132">
        <f t="shared" si="26"/>
        <v>27968.71277</v>
      </c>
      <c r="AG38" s="132">
        <f t="shared" si="26"/>
        <v>28271.70716</v>
      </c>
      <c r="AH38" s="132">
        <f t="shared" si="26"/>
        <v>28577.98399</v>
      </c>
      <c r="AI38" s="132">
        <f t="shared" si="26"/>
        <v>28816.13385</v>
      </c>
      <c r="AJ38" s="132">
        <f t="shared" si="26"/>
        <v>29056.2683</v>
      </c>
      <c r="AK38" s="132">
        <f t="shared" si="26"/>
        <v>29298.40387</v>
      </c>
      <c r="AL38" s="132">
        <f t="shared" si="26"/>
        <v>29542.55724</v>
      </c>
      <c r="AM38" s="132">
        <f t="shared" si="26"/>
        <v>29788.74521</v>
      </c>
      <c r="AN38" s="132">
        <f t="shared" si="26"/>
        <v>30036.98476</v>
      </c>
      <c r="AO38" s="132">
        <f t="shared" si="26"/>
        <v>30287.29296</v>
      </c>
      <c r="AP38" s="132">
        <f t="shared" si="26"/>
        <v>30539.68707</v>
      </c>
      <c r="AQ38" s="132">
        <f t="shared" si="26"/>
        <v>30794.18446</v>
      </c>
      <c r="AR38" s="132">
        <f t="shared" si="26"/>
        <v>31050.80267</v>
      </c>
      <c r="AS38" s="132">
        <f t="shared" si="26"/>
        <v>31309.55936</v>
      </c>
      <c r="AT38" s="132">
        <f t="shared" si="26"/>
        <v>31570.47235</v>
      </c>
      <c r="AU38" s="132">
        <f t="shared" si="26"/>
        <v>31780.94217</v>
      </c>
      <c r="AV38" s="132">
        <f t="shared" si="26"/>
        <v>31992.81511</v>
      </c>
      <c r="AW38" s="132">
        <f t="shared" si="26"/>
        <v>32206.10055</v>
      </c>
      <c r="AX38" s="132">
        <f t="shared" si="26"/>
        <v>32420.80788</v>
      </c>
      <c r="AY38" s="132">
        <f t="shared" si="26"/>
        <v>32636.9466</v>
      </c>
      <c r="AZ38" s="132">
        <f t="shared" si="26"/>
        <v>32854.52625</v>
      </c>
      <c r="BA38" s="132">
        <f t="shared" si="26"/>
        <v>33073.55642</v>
      </c>
      <c r="BB38" s="132">
        <f t="shared" si="26"/>
        <v>33294.0468</v>
      </c>
      <c r="BC38" s="132">
        <f t="shared" si="26"/>
        <v>33516.00711</v>
      </c>
      <c r="BD38" s="132">
        <f t="shared" si="26"/>
        <v>33739.44716</v>
      </c>
      <c r="BE38" s="132">
        <f t="shared" si="26"/>
        <v>33964.37681</v>
      </c>
      <c r="BF38" s="132">
        <f t="shared" si="26"/>
        <v>34190.80599</v>
      </c>
      <c r="BG38" s="132">
        <f t="shared" si="26"/>
        <v>34418.74469</v>
      </c>
      <c r="BH38" s="132">
        <f t="shared" si="26"/>
        <v>34648.20299</v>
      </c>
      <c r="BI38" s="132">
        <f t="shared" si="26"/>
        <v>34879.19101</v>
      </c>
      <c r="BJ38" s="132">
        <f t="shared" si="26"/>
        <v>35111.71895</v>
      </c>
      <c r="BK38" s="132">
        <f t="shared" si="26"/>
        <v>35345.79708</v>
      </c>
      <c r="BL38" s="132">
        <f t="shared" si="26"/>
        <v>35581.43572</v>
      </c>
      <c r="BM38" s="132">
        <f t="shared" si="26"/>
        <v>35818.64529</v>
      </c>
      <c r="BN38" s="132">
        <f t="shared" si="26"/>
        <v>36057.43626</v>
      </c>
      <c r="BO38" s="132">
        <f t="shared" si="26"/>
        <v>36297.81917</v>
      </c>
      <c r="BP38" s="132">
        <f t="shared" si="26"/>
        <v>36539.80463</v>
      </c>
      <c r="BQ38" s="132">
        <f t="shared" si="26"/>
        <v>36783.40333</v>
      </c>
      <c r="BR38" s="132">
        <f t="shared" si="26"/>
        <v>37028.62602</v>
      </c>
      <c r="BS38" s="75"/>
    </row>
    <row r="39" ht="7.5" customHeight="1">
      <c r="A39" s="80"/>
      <c r="B39" s="297"/>
      <c r="C39" s="81"/>
      <c r="D39" s="82"/>
      <c r="E39" s="82"/>
      <c r="F39" s="82"/>
      <c r="G39" s="82"/>
      <c r="H39" s="82"/>
      <c r="I39" s="82"/>
      <c r="J39" s="92"/>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82"/>
    </row>
    <row r="40" ht="7.5" customHeight="1">
      <c r="A40" s="80"/>
      <c r="B40" s="297"/>
      <c r="C40" s="81"/>
      <c r="D40" s="82"/>
      <c r="E40" s="82"/>
      <c r="F40" s="82"/>
      <c r="G40" s="82"/>
      <c r="H40" s="82"/>
      <c r="I40" s="82"/>
      <c r="J40" s="92"/>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82"/>
    </row>
    <row r="41" ht="15.75" customHeight="1">
      <c r="A41" s="91"/>
      <c r="B41" s="295" t="s">
        <v>112</v>
      </c>
      <c r="C41" s="126"/>
      <c r="D41" s="284"/>
      <c r="E41" s="294">
        <f t="array" ref="E41">INDEX(Direct_Labor_Cost,E$1)</f>
        <v>0.15</v>
      </c>
      <c r="F41" s="294">
        <f t="array" ref="F41">INDEX(Direct_Labor_Cost,F$1)</f>
        <v>0.15</v>
      </c>
      <c r="G41" s="294">
        <f t="array" ref="G41">INDEX(Direct_Labor_Cost,G$1)</f>
        <v>0.15</v>
      </c>
      <c r="H41" s="294">
        <f t="array" ref="H41">INDEX(Direct_Labor_Cost,H$1)</f>
        <v>0.15</v>
      </c>
      <c r="I41" s="294">
        <f t="array" ref="I41">INDEX(Direct_Labor_Cost,I$1)</f>
        <v>0.15</v>
      </c>
      <c r="J41" s="92"/>
      <c r="K41" s="294">
        <f t="array" ref="K41">INDEX(Direct_Labor_Cost,K$2)</f>
        <v>0.15</v>
      </c>
      <c r="L41" s="294">
        <f t="array" ref="L41">INDEX(Direct_Labor_Cost,L$2)</f>
        <v>0.15</v>
      </c>
      <c r="M41" s="294">
        <f t="array" ref="M41">INDEX(Direct_Labor_Cost,M$2)</f>
        <v>0.15</v>
      </c>
      <c r="N41" s="294">
        <f t="array" ref="N41">INDEX(Direct_Labor_Cost,N$2)</f>
        <v>0.15</v>
      </c>
      <c r="O41" s="294">
        <f t="array" ref="O41">INDEX(Direct_Labor_Cost,O$2)</f>
        <v>0.15</v>
      </c>
      <c r="P41" s="294">
        <f t="array" ref="P41">INDEX(Direct_Labor_Cost,P$2)</f>
        <v>0.15</v>
      </c>
      <c r="Q41" s="294">
        <f t="array" ref="Q41">INDEX(Direct_Labor_Cost,Q$2)</f>
        <v>0.15</v>
      </c>
      <c r="R41" s="294">
        <f t="array" ref="R41">INDEX(Direct_Labor_Cost,R$2)</f>
        <v>0.15</v>
      </c>
      <c r="S41" s="294">
        <f t="array" ref="S41">INDEX(Direct_Labor_Cost,S$2)</f>
        <v>0.15</v>
      </c>
      <c r="T41" s="294">
        <f t="array" ref="T41">INDEX(Direct_Labor_Cost,T$2)</f>
        <v>0.15</v>
      </c>
      <c r="U41" s="294">
        <f t="array" ref="U41">INDEX(Direct_Labor_Cost,U$2)</f>
        <v>0.15</v>
      </c>
      <c r="V41" s="294">
        <f t="array" ref="V41">INDEX(Direct_Labor_Cost,V$2)</f>
        <v>0.15</v>
      </c>
      <c r="W41" s="294">
        <f t="array" ref="W41">INDEX(Direct_Labor_Cost,W$2)</f>
        <v>0.15</v>
      </c>
      <c r="X41" s="294">
        <f t="array" ref="X41">INDEX(Direct_Labor_Cost,X$2)</f>
        <v>0.15</v>
      </c>
      <c r="Y41" s="294">
        <f t="array" ref="Y41">INDEX(Direct_Labor_Cost,Y$2)</f>
        <v>0.15</v>
      </c>
      <c r="Z41" s="294">
        <f t="array" ref="Z41">INDEX(Direct_Labor_Cost,Z$2)</f>
        <v>0.15</v>
      </c>
      <c r="AA41" s="294">
        <f t="array" ref="AA41">INDEX(Direct_Labor_Cost,AA$2)</f>
        <v>0.15</v>
      </c>
      <c r="AB41" s="294">
        <f t="array" ref="AB41">INDEX(Direct_Labor_Cost,AB$2)</f>
        <v>0.15</v>
      </c>
      <c r="AC41" s="294">
        <f t="array" ref="AC41">INDEX(Direct_Labor_Cost,AC$2)</f>
        <v>0.15</v>
      </c>
      <c r="AD41" s="294">
        <f t="array" ref="AD41">INDEX(Direct_Labor_Cost,AD$2)</f>
        <v>0.15</v>
      </c>
      <c r="AE41" s="294">
        <f t="array" ref="AE41">INDEX(Direct_Labor_Cost,AE$2)</f>
        <v>0.15</v>
      </c>
      <c r="AF41" s="294">
        <f t="array" ref="AF41">INDEX(Direct_Labor_Cost,AF$2)</f>
        <v>0.15</v>
      </c>
      <c r="AG41" s="294">
        <f t="array" ref="AG41">INDEX(Direct_Labor_Cost,AG$2)</f>
        <v>0.15</v>
      </c>
      <c r="AH41" s="294">
        <f t="array" ref="AH41">INDEX(Direct_Labor_Cost,AH$2)</f>
        <v>0.15</v>
      </c>
      <c r="AI41" s="294">
        <f t="array" ref="AI41">INDEX(Direct_Labor_Cost,AI$2)</f>
        <v>0.15</v>
      </c>
      <c r="AJ41" s="294">
        <f t="array" ref="AJ41">INDEX(Direct_Labor_Cost,AJ$2)</f>
        <v>0.15</v>
      </c>
      <c r="AK41" s="294">
        <f t="array" ref="AK41">INDEX(Direct_Labor_Cost,AK$2)</f>
        <v>0.15</v>
      </c>
      <c r="AL41" s="294">
        <f t="array" ref="AL41">INDEX(Direct_Labor_Cost,AL$2)</f>
        <v>0.15</v>
      </c>
      <c r="AM41" s="294">
        <f t="array" ref="AM41">INDEX(Direct_Labor_Cost,AM$2)</f>
        <v>0.15</v>
      </c>
      <c r="AN41" s="294">
        <f t="array" ref="AN41">INDEX(Direct_Labor_Cost,AN$2)</f>
        <v>0.15</v>
      </c>
      <c r="AO41" s="294">
        <f t="array" ref="AO41">INDEX(Direct_Labor_Cost,AO$2)</f>
        <v>0.15</v>
      </c>
      <c r="AP41" s="294">
        <f t="array" ref="AP41">INDEX(Direct_Labor_Cost,AP$2)</f>
        <v>0.15</v>
      </c>
      <c r="AQ41" s="294">
        <f t="array" ref="AQ41">INDEX(Direct_Labor_Cost,AQ$2)</f>
        <v>0.15</v>
      </c>
      <c r="AR41" s="294">
        <f t="array" ref="AR41">INDEX(Direct_Labor_Cost,AR$2)</f>
        <v>0.15</v>
      </c>
      <c r="AS41" s="294">
        <f t="array" ref="AS41">INDEX(Direct_Labor_Cost,AS$2)</f>
        <v>0.15</v>
      </c>
      <c r="AT41" s="294">
        <f t="array" ref="AT41">INDEX(Direct_Labor_Cost,AT$2)</f>
        <v>0.15</v>
      </c>
      <c r="AU41" s="294">
        <f t="array" ref="AU41">INDEX(Direct_Labor_Cost,AU$2)</f>
        <v>0.15</v>
      </c>
      <c r="AV41" s="294">
        <f t="array" ref="AV41">INDEX(Direct_Labor_Cost,AV$2)</f>
        <v>0.15</v>
      </c>
      <c r="AW41" s="294">
        <f t="array" ref="AW41">INDEX(Direct_Labor_Cost,AW$2)</f>
        <v>0.15</v>
      </c>
      <c r="AX41" s="294">
        <f t="array" ref="AX41">INDEX(Direct_Labor_Cost,AX$2)</f>
        <v>0.15</v>
      </c>
      <c r="AY41" s="294">
        <f t="array" ref="AY41">INDEX(Direct_Labor_Cost,AY$2)</f>
        <v>0.15</v>
      </c>
      <c r="AZ41" s="294">
        <f t="array" ref="AZ41">INDEX(Direct_Labor_Cost,AZ$2)</f>
        <v>0.15</v>
      </c>
      <c r="BA41" s="294">
        <f t="array" ref="BA41">INDEX(Direct_Labor_Cost,BA$2)</f>
        <v>0.15</v>
      </c>
      <c r="BB41" s="294">
        <f t="array" ref="BB41">INDEX(Direct_Labor_Cost,BB$2)</f>
        <v>0.15</v>
      </c>
      <c r="BC41" s="294">
        <f t="array" ref="BC41">INDEX(Direct_Labor_Cost,BC$2)</f>
        <v>0.15</v>
      </c>
      <c r="BD41" s="294">
        <f t="array" ref="BD41">INDEX(Direct_Labor_Cost,BD$2)</f>
        <v>0.15</v>
      </c>
      <c r="BE41" s="294">
        <f t="array" ref="BE41">INDEX(Direct_Labor_Cost,BE$2)</f>
        <v>0.15</v>
      </c>
      <c r="BF41" s="294">
        <f t="array" ref="BF41">INDEX(Direct_Labor_Cost,BF$2)</f>
        <v>0.15</v>
      </c>
      <c r="BG41" s="294">
        <f t="array" ref="BG41">INDEX(Direct_Labor_Cost,BG$2)</f>
        <v>0.15</v>
      </c>
      <c r="BH41" s="294">
        <f t="array" ref="BH41">INDEX(Direct_Labor_Cost,BH$2)</f>
        <v>0.15</v>
      </c>
      <c r="BI41" s="294">
        <f t="array" ref="BI41">INDEX(Direct_Labor_Cost,BI$2)</f>
        <v>0.15</v>
      </c>
      <c r="BJ41" s="294">
        <f t="array" ref="BJ41">INDEX(Direct_Labor_Cost,BJ$2)</f>
        <v>0.15</v>
      </c>
      <c r="BK41" s="294">
        <f t="array" ref="BK41">INDEX(Direct_Labor_Cost,BK$2)</f>
        <v>0.15</v>
      </c>
      <c r="BL41" s="294">
        <f t="array" ref="BL41">INDEX(Direct_Labor_Cost,BL$2)</f>
        <v>0.15</v>
      </c>
      <c r="BM41" s="294">
        <f t="array" ref="BM41">INDEX(Direct_Labor_Cost,BM$2)</f>
        <v>0.15</v>
      </c>
      <c r="BN41" s="294">
        <f t="array" ref="BN41">INDEX(Direct_Labor_Cost,BN$2)</f>
        <v>0.15</v>
      </c>
      <c r="BO41" s="294">
        <f t="array" ref="BO41">INDEX(Direct_Labor_Cost,BO$2)</f>
        <v>0.15</v>
      </c>
      <c r="BP41" s="294">
        <f t="array" ref="BP41">INDEX(Direct_Labor_Cost,BP$2)</f>
        <v>0.15</v>
      </c>
      <c r="BQ41" s="294">
        <f t="array" ref="BQ41">INDEX(Direct_Labor_Cost,BQ$2)</f>
        <v>0.15</v>
      </c>
      <c r="BR41" s="294">
        <f t="array" ref="BR41">INDEX(Direct_Labor_Cost,BR$2)</f>
        <v>0.15</v>
      </c>
      <c r="BS41" s="126"/>
    </row>
    <row r="42" ht="15.75" customHeight="1">
      <c r="A42" s="80"/>
      <c r="B42" s="298" t="s">
        <v>111</v>
      </c>
      <c r="C42" s="131"/>
      <c r="D42" s="102"/>
      <c r="E42" s="132">
        <f t="shared" ref="E42:I42" si="27">SUMIFS($K42:$BR42,$K$2:$BR$2,E$1)</f>
        <v>-43440.40819</v>
      </c>
      <c r="F42" s="132">
        <f t="shared" si="27"/>
        <v>-76732.42842</v>
      </c>
      <c r="G42" s="132">
        <f t="shared" si="27"/>
        <v>-89038.79314</v>
      </c>
      <c r="H42" s="132">
        <f t="shared" si="27"/>
        <v>-97295.9948</v>
      </c>
      <c r="I42" s="132">
        <f t="shared" si="27"/>
        <v>-105371.5144</v>
      </c>
      <c r="J42" s="92"/>
      <c r="K42" s="132">
        <f t="shared" ref="K42:BR42" si="28">-(K41*K$26)</f>
        <v>-1976.2275</v>
      </c>
      <c r="L42" s="132">
        <f t="shared" si="28"/>
        <v>-2488.582778</v>
      </c>
      <c r="M42" s="132">
        <f t="shared" si="28"/>
        <v>-2744.760417</v>
      </c>
      <c r="N42" s="132">
        <f t="shared" si="28"/>
        <v>-3000.938056</v>
      </c>
      <c r="O42" s="132">
        <f t="shared" si="28"/>
        <v>-3257.115694</v>
      </c>
      <c r="P42" s="132">
        <f t="shared" si="28"/>
        <v>-3513.293333</v>
      </c>
      <c r="Q42" s="132">
        <f t="shared" si="28"/>
        <v>-3769.470972</v>
      </c>
      <c r="R42" s="132">
        <f t="shared" si="28"/>
        <v>-4025.648611</v>
      </c>
      <c r="S42" s="132">
        <f t="shared" si="28"/>
        <v>-4281.82625</v>
      </c>
      <c r="T42" s="132">
        <f t="shared" si="28"/>
        <v>-4538.003889</v>
      </c>
      <c r="U42" s="132">
        <f t="shared" si="28"/>
        <v>-4794.181528</v>
      </c>
      <c r="V42" s="132">
        <f t="shared" si="28"/>
        <v>-5050.359167</v>
      </c>
      <c r="W42" s="132">
        <f t="shared" si="28"/>
        <v>-5306.536806</v>
      </c>
      <c r="X42" s="132">
        <f t="shared" si="28"/>
        <v>-5562.714444</v>
      </c>
      <c r="Y42" s="132">
        <f t="shared" si="28"/>
        <v>-5818.892083</v>
      </c>
      <c r="Z42" s="132">
        <f t="shared" si="28"/>
        <v>-6075.069722</v>
      </c>
      <c r="AA42" s="132">
        <f t="shared" si="28"/>
        <v>-6331.247361</v>
      </c>
      <c r="AB42" s="132">
        <f t="shared" si="28"/>
        <v>-6587.425</v>
      </c>
      <c r="AC42" s="132">
        <f t="shared" si="28"/>
        <v>-6658.788771</v>
      </c>
      <c r="AD42" s="132">
        <f t="shared" si="28"/>
        <v>-6730.925649</v>
      </c>
      <c r="AE42" s="132">
        <f t="shared" si="28"/>
        <v>-6803.84401</v>
      </c>
      <c r="AF42" s="132">
        <f t="shared" si="28"/>
        <v>-6877.55232</v>
      </c>
      <c r="AG42" s="132">
        <f t="shared" si="28"/>
        <v>-6952.059137</v>
      </c>
      <c r="AH42" s="132">
        <f t="shared" si="28"/>
        <v>-7027.373111</v>
      </c>
      <c r="AI42" s="132">
        <f t="shared" si="28"/>
        <v>-7085.934554</v>
      </c>
      <c r="AJ42" s="132">
        <f t="shared" si="28"/>
        <v>-7144.984008</v>
      </c>
      <c r="AK42" s="132">
        <f t="shared" si="28"/>
        <v>-7204.525542</v>
      </c>
      <c r="AL42" s="132">
        <f t="shared" si="28"/>
        <v>-7264.563255</v>
      </c>
      <c r="AM42" s="132">
        <f t="shared" si="28"/>
        <v>-7325.101282</v>
      </c>
      <c r="AN42" s="132">
        <f t="shared" si="28"/>
        <v>-7386.143793</v>
      </c>
      <c r="AO42" s="132">
        <f t="shared" si="28"/>
        <v>-7447.694991</v>
      </c>
      <c r="AP42" s="132">
        <f t="shared" si="28"/>
        <v>-7509.759116</v>
      </c>
      <c r="AQ42" s="132">
        <f t="shared" si="28"/>
        <v>-7572.340442</v>
      </c>
      <c r="AR42" s="132">
        <f t="shared" si="28"/>
        <v>-7635.443279</v>
      </c>
      <c r="AS42" s="132">
        <f t="shared" si="28"/>
        <v>-7699.071973</v>
      </c>
      <c r="AT42" s="132">
        <f t="shared" si="28"/>
        <v>-7763.230906</v>
      </c>
      <c r="AU42" s="132">
        <f t="shared" si="28"/>
        <v>-7814.985779</v>
      </c>
      <c r="AV42" s="132">
        <f t="shared" si="28"/>
        <v>-7867.085684</v>
      </c>
      <c r="AW42" s="132">
        <f t="shared" si="28"/>
        <v>-7919.532922</v>
      </c>
      <c r="AX42" s="132">
        <f t="shared" si="28"/>
        <v>-7972.329808</v>
      </c>
      <c r="AY42" s="132">
        <f t="shared" si="28"/>
        <v>-8025.478673</v>
      </c>
      <c r="AZ42" s="132">
        <f t="shared" si="28"/>
        <v>-8078.981864</v>
      </c>
      <c r="BA42" s="132">
        <f t="shared" si="28"/>
        <v>-8132.841743</v>
      </c>
      <c r="BB42" s="132">
        <f t="shared" si="28"/>
        <v>-8187.060688</v>
      </c>
      <c r="BC42" s="132">
        <f t="shared" si="28"/>
        <v>-8241.641093</v>
      </c>
      <c r="BD42" s="132">
        <f t="shared" si="28"/>
        <v>-8296.585367</v>
      </c>
      <c r="BE42" s="132">
        <f t="shared" si="28"/>
        <v>-8351.895936</v>
      </c>
      <c r="BF42" s="132">
        <f t="shared" si="28"/>
        <v>-8407.575242</v>
      </c>
      <c r="BG42" s="132">
        <f t="shared" si="28"/>
        <v>-8463.625744</v>
      </c>
      <c r="BH42" s="132">
        <f t="shared" si="28"/>
        <v>-8520.049915</v>
      </c>
      <c r="BI42" s="132">
        <f t="shared" si="28"/>
        <v>-8576.850248</v>
      </c>
      <c r="BJ42" s="132">
        <f t="shared" si="28"/>
        <v>-8634.02925</v>
      </c>
      <c r="BK42" s="132">
        <f t="shared" si="28"/>
        <v>-8691.589445</v>
      </c>
      <c r="BL42" s="132">
        <f t="shared" si="28"/>
        <v>-8749.533375</v>
      </c>
      <c r="BM42" s="132">
        <f t="shared" si="28"/>
        <v>-8807.863597</v>
      </c>
      <c r="BN42" s="132">
        <f t="shared" si="28"/>
        <v>-8866.582688</v>
      </c>
      <c r="BO42" s="132">
        <f t="shared" si="28"/>
        <v>-8925.693239</v>
      </c>
      <c r="BP42" s="132">
        <f t="shared" si="28"/>
        <v>-8985.197861</v>
      </c>
      <c r="BQ42" s="132">
        <f t="shared" si="28"/>
        <v>-9045.09918</v>
      </c>
      <c r="BR42" s="132">
        <f t="shared" si="28"/>
        <v>-9105.399841</v>
      </c>
      <c r="BS42" s="75"/>
    </row>
    <row r="43" ht="15.75" customHeight="1">
      <c r="A43" s="80"/>
      <c r="B43" s="75"/>
      <c r="C43" s="75"/>
      <c r="D43" s="75"/>
      <c r="E43" s="75"/>
      <c r="F43" s="75"/>
      <c r="G43" s="75"/>
      <c r="H43" s="75"/>
      <c r="I43" s="75"/>
      <c r="J43" s="92"/>
      <c r="K43" s="299"/>
      <c r="L43" s="299"/>
      <c r="M43" s="299"/>
      <c r="N43" s="299"/>
      <c r="O43" s="299"/>
      <c r="P43" s="299"/>
      <c r="Q43" s="299"/>
      <c r="R43" s="299"/>
      <c r="S43" s="299"/>
      <c r="T43" s="299"/>
      <c r="U43" s="299"/>
      <c r="V43" s="299"/>
      <c r="W43" s="299"/>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row>
    <row r="44" ht="15.75" customHeight="1">
      <c r="A44" s="80"/>
      <c r="B44" s="98" t="s">
        <v>161</v>
      </c>
      <c r="C44" s="98"/>
      <c r="D44" s="99"/>
      <c r="E44" s="300">
        <f t="shared" ref="E44:I44" si="29">SUMIFS($K44:$BR44,$K$2:$BR$2,E$1)</f>
        <v>133217.2518</v>
      </c>
      <c r="F44" s="300">
        <f t="shared" si="29"/>
        <v>235312.7805</v>
      </c>
      <c r="G44" s="300">
        <f t="shared" si="29"/>
        <v>273052.299</v>
      </c>
      <c r="H44" s="300">
        <f t="shared" si="29"/>
        <v>298374.384</v>
      </c>
      <c r="I44" s="300">
        <f t="shared" si="29"/>
        <v>323139.3108</v>
      </c>
      <c r="J44" s="92"/>
      <c r="K44" s="300">
        <f t="shared" ref="K44:BR44" si="30">K$26+K$29+K$32+K$35+K$42</f>
        <v>6060.431</v>
      </c>
      <c r="L44" s="300">
        <f t="shared" si="30"/>
        <v>7631.653852</v>
      </c>
      <c r="M44" s="300">
        <f t="shared" si="30"/>
        <v>8417.265278</v>
      </c>
      <c r="N44" s="300">
        <f t="shared" si="30"/>
        <v>9202.876704</v>
      </c>
      <c r="O44" s="300">
        <f t="shared" si="30"/>
        <v>9988.48813</v>
      </c>
      <c r="P44" s="300">
        <f t="shared" si="30"/>
        <v>10774.09956</v>
      </c>
      <c r="Q44" s="300">
        <f t="shared" si="30"/>
        <v>11559.71098</v>
      </c>
      <c r="R44" s="300">
        <f t="shared" si="30"/>
        <v>12345.32241</v>
      </c>
      <c r="S44" s="300">
        <f t="shared" si="30"/>
        <v>13130.93383</v>
      </c>
      <c r="T44" s="300">
        <f t="shared" si="30"/>
        <v>13916.54526</v>
      </c>
      <c r="U44" s="300">
        <f t="shared" si="30"/>
        <v>14702.15669</v>
      </c>
      <c r="V44" s="300">
        <f t="shared" si="30"/>
        <v>15487.76811</v>
      </c>
      <c r="W44" s="300">
        <f t="shared" si="30"/>
        <v>16273.37954</v>
      </c>
      <c r="X44" s="300">
        <f t="shared" si="30"/>
        <v>17058.99096</v>
      </c>
      <c r="Y44" s="300">
        <f t="shared" si="30"/>
        <v>17844.60239</v>
      </c>
      <c r="Z44" s="300">
        <f t="shared" si="30"/>
        <v>18630.21381</v>
      </c>
      <c r="AA44" s="300">
        <f t="shared" si="30"/>
        <v>19415.82524</v>
      </c>
      <c r="AB44" s="300">
        <f t="shared" si="30"/>
        <v>20201.43667</v>
      </c>
      <c r="AC44" s="300">
        <f t="shared" si="30"/>
        <v>20420.28556</v>
      </c>
      <c r="AD44" s="300">
        <f t="shared" si="30"/>
        <v>20641.50532</v>
      </c>
      <c r="AE44" s="300">
        <f t="shared" si="30"/>
        <v>20865.12163</v>
      </c>
      <c r="AF44" s="300">
        <f t="shared" si="30"/>
        <v>21091.16045</v>
      </c>
      <c r="AG44" s="300">
        <f t="shared" si="30"/>
        <v>21319.64802</v>
      </c>
      <c r="AH44" s="300">
        <f t="shared" si="30"/>
        <v>21550.61087</v>
      </c>
      <c r="AI44" s="300">
        <f t="shared" si="30"/>
        <v>21730.1993</v>
      </c>
      <c r="AJ44" s="300">
        <f t="shared" si="30"/>
        <v>21911.28429</v>
      </c>
      <c r="AK44" s="300">
        <f t="shared" si="30"/>
        <v>22093.87833</v>
      </c>
      <c r="AL44" s="300">
        <f t="shared" si="30"/>
        <v>22277.99398</v>
      </c>
      <c r="AM44" s="300">
        <f t="shared" si="30"/>
        <v>22463.64393</v>
      </c>
      <c r="AN44" s="300">
        <f t="shared" si="30"/>
        <v>22650.84096</v>
      </c>
      <c r="AO44" s="300">
        <f t="shared" si="30"/>
        <v>22839.59797</v>
      </c>
      <c r="AP44" s="300">
        <f t="shared" si="30"/>
        <v>23029.92795</v>
      </c>
      <c r="AQ44" s="300">
        <f t="shared" si="30"/>
        <v>23221.84402</v>
      </c>
      <c r="AR44" s="300">
        <f t="shared" si="30"/>
        <v>23415.35939</v>
      </c>
      <c r="AS44" s="300">
        <f t="shared" si="30"/>
        <v>23610.48738</v>
      </c>
      <c r="AT44" s="300">
        <f t="shared" si="30"/>
        <v>23807.24144</v>
      </c>
      <c r="AU44" s="300">
        <f t="shared" si="30"/>
        <v>23965.95639</v>
      </c>
      <c r="AV44" s="300">
        <f t="shared" si="30"/>
        <v>24125.72943</v>
      </c>
      <c r="AW44" s="300">
        <f t="shared" si="30"/>
        <v>24286.56763</v>
      </c>
      <c r="AX44" s="300">
        <f t="shared" si="30"/>
        <v>24448.47808</v>
      </c>
      <c r="AY44" s="300">
        <f t="shared" si="30"/>
        <v>24611.46793</v>
      </c>
      <c r="AZ44" s="300">
        <f t="shared" si="30"/>
        <v>24775.54438</v>
      </c>
      <c r="BA44" s="300">
        <f t="shared" si="30"/>
        <v>24940.71468</v>
      </c>
      <c r="BB44" s="300">
        <f t="shared" si="30"/>
        <v>25106.98611</v>
      </c>
      <c r="BC44" s="300">
        <f t="shared" si="30"/>
        <v>25274.36602</v>
      </c>
      <c r="BD44" s="300">
        <f t="shared" si="30"/>
        <v>25442.86179</v>
      </c>
      <c r="BE44" s="300">
        <f t="shared" si="30"/>
        <v>25612.48087</v>
      </c>
      <c r="BF44" s="300">
        <f t="shared" si="30"/>
        <v>25783.23074</v>
      </c>
      <c r="BG44" s="300">
        <f t="shared" si="30"/>
        <v>25955.11895</v>
      </c>
      <c r="BH44" s="300">
        <f t="shared" si="30"/>
        <v>26128.15307</v>
      </c>
      <c r="BI44" s="300">
        <f t="shared" si="30"/>
        <v>26302.34076</v>
      </c>
      <c r="BJ44" s="300">
        <f t="shared" si="30"/>
        <v>26477.6897</v>
      </c>
      <c r="BK44" s="300">
        <f t="shared" si="30"/>
        <v>26654.20763</v>
      </c>
      <c r="BL44" s="300">
        <f t="shared" si="30"/>
        <v>26831.90235</v>
      </c>
      <c r="BM44" s="300">
        <f t="shared" si="30"/>
        <v>27010.7817</v>
      </c>
      <c r="BN44" s="300">
        <f t="shared" si="30"/>
        <v>27190.85358</v>
      </c>
      <c r="BO44" s="300">
        <f t="shared" si="30"/>
        <v>27372.12593</v>
      </c>
      <c r="BP44" s="300">
        <f t="shared" si="30"/>
        <v>27554.60677</v>
      </c>
      <c r="BQ44" s="300">
        <f t="shared" si="30"/>
        <v>27738.30415</v>
      </c>
      <c r="BR44" s="300">
        <f t="shared" si="30"/>
        <v>27923.22618</v>
      </c>
      <c r="BS44" s="75"/>
    </row>
    <row r="45" ht="15.75" customHeight="1">
      <c r="A45" s="91"/>
      <c r="B45" s="295" t="s">
        <v>162</v>
      </c>
      <c r="C45" s="126"/>
      <c r="D45" s="284"/>
      <c r="E45" s="294">
        <f t="shared" ref="E45:I45" si="31">IFERROR(E44/E$26,0)</f>
        <v>0.46</v>
      </c>
      <c r="F45" s="294">
        <f t="shared" si="31"/>
        <v>0.46</v>
      </c>
      <c r="G45" s="294">
        <f t="shared" si="31"/>
        <v>0.46</v>
      </c>
      <c r="H45" s="294">
        <f t="shared" si="31"/>
        <v>0.46</v>
      </c>
      <c r="I45" s="294">
        <f t="shared" si="31"/>
        <v>0.46</v>
      </c>
      <c r="J45" s="92"/>
      <c r="K45" s="294">
        <f t="shared" ref="K45:BR45" si="32">IFERROR(K44/K$26,0)</f>
        <v>0.46</v>
      </c>
      <c r="L45" s="294">
        <f t="shared" si="32"/>
        <v>0.46</v>
      </c>
      <c r="M45" s="294">
        <f t="shared" si="32"/>
        <v>0.46</v>
      </c>
      <c r="N45" s="294">
        <f t="shared" si="32"/>
        <v>0.46</v>
      </c>
      <c r="O45" s="294">
        <f t="shared" si="32"/>
        <v>0.46</v>
      </c>
      <c r="P45" s="294">
        <f t="shared" si="32"/>
        <v>0.46</v>
      </c>
      <c r="Q45" s="294">
        <f t="shared" si="32"/>
        <v>0.46</v>
      </c>
      <c r="R45" s="294">
        <f t="shared" si="32"/>
        <v>0.46</v>
      </c>
      <c r="S45" s="294">
        <f t="shared" si="32"/>
        <v>0.46</v>
      </c>
      <c r="T45" s="294">
        <f t="shared" si="32"/>
        <v>0.46</v>
      </c>
      <c r="U45" s="294">
        <f t="shared" si="32"/>
        <v>0.46</v>
      </c>
      <c r="V45" s="294">
        <f t="shared" si="32"/>
        <v>0.46</v>
      </c>
      <c r="W45" s="294">
        <f t="shared" si="32"/>
        <v>0.46</v>
      </c>
      <c r="X45" s="294">
        <f t="shared" si="32"/>
        <v>0.46</v>
      </c>
      <c r="Y45" s="294">
        <f t="shared" si="32"/>
        <v>0.46</v>
      </c>
      <c r="Z45" s="294">
        <f t="shared" si="32"/>
        <v>0.46</v>
      </c>
      <c r="AA45" s="294">
        <f t="shared" si="32"/>
        <v>0.46</v>
      </c>
      <c r="AB45" s="294">
        <f t="shared" si="32"/>
        <v>0.46</v>
      </c>
      <c r="AC45" s="294">
        <f t="shared" si="32"/>
        <v>0.46</v>
      </c>
      <c r="AD45" s="294">
        <f t="shared" si="32"/>
        <v>0.46</v>
      </c>
      <c r="AE45" s="294">
        <f t="shared" si="32"/>
        <v>0.46</v>
      </c>
      <c r="AF45" s="294">
        <f t="shared" si="32"/>
        <v>0.46</v>
      </c>
      <c r="AG45" s="294">
        <f t="shared" si="32"/>
        <v>0.46</v>
      </c>
      <c r="AH45" s="294">
        <f t="shared" si="32"/>
        <v>0.46</v>
      </c>
      <c r="AI45" s="294">
        <f t="shared" si="32"/>
        <v>0.46</v>
      </c>
      <c r="AJ45" s="294">
        <f t="shared" si="32"/>
        <v>0.46</v>
      </c>
      <c r="AK45" s="294">
        <f t="shared" si="32"/>
        <v>0.46</v>
      </c>
      <c r="AL45" s="294">
        <f t="shared" si="32"/>
        <v>0.46</v>
      </c>
      <c r="AM45" s="294">
        <f t="shared" si="32"/>
        <v>0.46</v>
      </c>
      <c r="AN45" s="294">
        <f t="shared" si="32"/>
        <v>0.46</v>
      </c>
      <c r="AO45" s="294">
        <f t="shared" si="32"/>
        <v>0.46</v>
      </c>
      <c r="AP45" s="294">
        <f t="shared" si="32"/>
        <v>0.46</v>
      </c>
      <c r="AQ45" s="294">
        <f t="shared" si="32"/>
        <v>0.46</v>
      </c>
      <c r="AR45" s="294">
        <f t="shared" si="32"/>
        <v>0.46</v>
      </c>
      <c r="AS45" s="294">
        <f t="shared" si="32"/>
        <v>0.46</v>
      </c>
      <c r="AT45" s="294">
        <f t="shared" si="32"/>
        <v>0.46</v>
      </c>
      <c r="AU45" s="294">
        <f t="shared" si="32"/>
        <v>0.46</v>
      </c>
      <c r="AV45" s="294">
        <f t="shared" si="32"/>
        <v>0.46</v>
      </c>
      <c r="AW45" s="294">
        <f t="shared" si="32"/>
        <v>0.46</v>
      </c>
      <c r="AX45" s="294">
        <f t="shared" si="32"/>
        <v>0.46</v>
      </c>
      <c r="AY45" s="294">
        <f t="shared" si="32"/>
        <v>0.46</v>
      </c>
      <c r="AZ45" s="294">
        <f t="shared" si="32"/>
        <v>0.46</v>
      </c>
      <c r="BA45" s="294">
        <f t="shared" si="32"/>
        <v>0.46</v>
      </c>
      <c r="BB45" s="294">
        <f t="shared" si="32"/>
        <v>0.46</v>
      </c>
      <c r="BC45" s="294">
        <f t="shared" si="32"/>
        <v>0.46</v>
      </c>
      <c r="BD45" s="294">
        <f t="shared" si="32"/>
        <v>0.46</v>
      </c>
      <c r="BE45" s="294">
        <f t="shared" si="32"/>
        <v>0.46</v>
      </c>
      <c r="BF45" s="294">
        <f t="shared" si="32"/>
        <v>0.46</v>
      </c>
      <c r="BG45" s="294">
        <f t="shared" si="32"/>
        <v>0.46</v>
      </c>
      <c r="BH45" s="294">
        <f t="shared" si="32"/>
        <v>0.46</v>
      </c>
      <c r="BI45" s="294">
        <f t="shared" si="32"/>
        <v>0.46</v>
      </c>
      <c r="BJ45" s="294">
        <f t="shared" si="32"/>
        <v>0.46</v>
      </c>
      <c r="BK45" s="294">
        <f t="shared" si="32"/>
        <v>0.46</v>
      </c>
      <c r="BL45" s="294">
        <f t="shared" si="32"/>
        <v>0.46</v>
      </c>
      <c r="BM45" s="294">
        <f t="shared" si="32"/>
        <v>0.46</v>
      </c>
      <c r="BN45" s="294">
        <f t="shared" si="32"/>
        <v>0.46</v>
      </c>
      <c r="BO45" s="294">
        <f t="shared" si="32"/>
        <v>0.46</v>
      </c>
      <c r="BP45" s="294">
        <f t="shared" si="32"/>
        <v>0.46</v>
      </c>
      <c r="BQ45" s="294">
        <f t="shared" si="32"/>
        <v>0.46</v>
      </c>
      <c r="BR45" s="294">
        <f t="shared" si="32"/>
        <v>0.46</v>
      </c>
      <c r="BS45" s="126"/>
    </row>
    <row r="46" ht="15.75" customHeight="1">
      <c r="A46" s="80"/>
      <c r="B46" s="75"/>
      <c r="C46" s="75"/>
      <c r="D46" s="75"/>
      <c r="E46" s="301"/>
      <c r="F46" s="75"/>
      <c r="G46" s="75"/>
      <c r="H46" s="75"/>
      <c r="I46" s="75"/>
      <c r="J46" s="92"/>
      <c r="K46" s="299"/>
      <c r="L46" s="299"/>
      <c r="M46" s="299"/>
      <c r="N46" s="299"/>
      <c r="O46" s="299"/>
      <c r="P46" s="299"/>
      <c r="Q46" s="299"/>
      <c r="R46" s="299"/>
      <c r="S46" s="299"/>
      <c r="T46" s="299"/>
      <c r="U46" s="299"/>
      <c r="V46" s="299"/>
      <c r="W46" s="299"/>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c r="BK46" s="75"/>
      <c r="BL46" s="75"/>
      <c r="BM46" s="75"/>
      <c r="BN46" s="75"/>
      <c r="BO46" s="75"/>
      <c r="BP46" s="75"/>
      <c r="BQ46" s="75"/>
      <c r="BR46" s="75"/>
      <c r="BS46" s="75"/>
    </row>
    <row r="47" ht="15.75" customHeight="1">
      <c r="A47" s="82"/>
      <c r="B47" s="302" t="s">
        <v>81</v>
      </c>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282"/>
    </row>
    <row r="48" ht="15.75" customHeight="1">
      <c r="A48" s="80"/>
      <c r="B48" s="297" t="s">
        <v>166</v>
      </c>
      <c r="C48" s="75"/>
      <c r="D48" s="82"/>
      <c r="E48" s="123">
        <f t="shared" ref="E48:I48" si="33">SUMIFS($K48:$BR48,$K$2:$BR$2,E$1)</f>
        <v>0</v>
      </c>
      <c r="F48" s="123">
        <f t="shared" si="33"/>
        <v>-78437.59349</v>
      </c>
      <c r="G48" s="123">
        <f t="shared" si="33"/>
        <v>-91017.43299</v>
      </c>
      <c r="H48" s="123">
        <f t="shared" si="33"/>
        <v>-99458.12802</v>
      </c>
      <c r="I48" s="123">
        <f t="shared" si="33"/>
        <v>-107713.1036</v>
      </c>
      <c r="J48" s="92"/>
      <c r="K48" s="123">
        <f t="array" ref="K48">-IFERROR(INDEX(Management_Salaries,K$2)/12,0)</f>
        <v>0</v>
      </c>
      <c r="L48" s="123">
        <f t="array" ref="L48">-IFERROR(INDEX(Management_Salaries,L$2)/12,0)</f>
        <v>0</v>
      </c>
      <c r="M48" s="123">
        <f t="array" ref="M48">-IFERROR(INDEX(Management_Salaries,M$2)/12,0)</f>
        <v>0</v>
      </c>
      <c r="N48" s="123">
        <f t="array" ref="N48">-IFERROR(INDEX(Management_Salaries,N$2)/12,0)</f>
        <v>0</v>
      </c>
      <c r="O48" s="123">
        <f t="array" ref="O48">-IFERROR(INDEX(Management_Salaries,O$2)/12,0)</f>
        <v>0</v>
      </c>
      <c r="P48" s="123">
        <f t="array" ref="P48">-IFERROR(INDEX(Management_Salaries,P$2)/12,0)</f>
        <v>0</v>
      </c>
      <c r="Q48" s="123">
        <f t="array" ref="Q48">-IFERROR(INDEX(Management_Salaries,Q$2)/12,0)</f>
        <v>0</v>
      </c>
      <c r="R48" s="123">
        <f t="array" ref="R48">-IFERROR(INDEX(Management_Salaries,R$2)/12,0)</f>
        <v>0</v>
      </c>
      <c r="S48" s="123">
        <f t="array" ref="S48">-IFERROR(INDEX(Management_Salaries,S$2)/12,0)</f>
        <v>0</v>
      </c>
      <c r="T48" s="123">
        <f t="array" ref="T48">-IFERROR(INDEX(Management_Salaries,T$2)/12,0)</f>
        <v>0</v>
      </c>
      <c r="U48" s="123">
        <f t="array" ref="U48">-IFERROR(INDEX(Management_Salaries,U$2)/12,0)</f>
        <v>0</v>
      </c>
      <c r="V48" s="123">
        <f t="array" ref="V48">-IFERROR(INDEX(Management_Salaries,V$2)/12,0)</f>
        <v>0</v>
      </c>
      <c r="W48" s="123">
        <f t="array" ref="W48">-IFERROR(INDEX(Management_Salaries,W$2)/12,0)</f>
        <v>-6536.466124</v>
      </c>
      <c r="X48" s="123">
        <f t="array" ref="X48">-IFERROR(INDEX(Management_Salaries,X$2)/12,0)</f>
        <v>-6536.466124</v>
      </c>
      <c r="Y48" s="123">
        <f t="array" ref="Y48">-IFERROR(INDEX(Management_Salaries,Y$2)/12,0)</f>
        <v>-6536.466124</v>
      </c>
      <c r="Z48" s="123">
        <f t="array" ref="Z48">-IFERROR(INDEX(Management_Salaries,Z$2)/12,0)</f>
        <v>-6536.466124</v>
      </c>
      <c r="AA48" s="123">
        <f t="array" ref="AA48">-IFERROR(INDEX(Management_Salaries,AA$2)/12,0)</f>
        <v>-6536.466124</v>
      </c>
      <c r="AB48" s="123">
        <f t="array" ref="AB48">-IFERROR(INDEX(Management_Salaries,AB$2)/12,0)</f>
        <v>-6536.466124</v>
      </c>
      <c r="AC48" s="123">
        <f t="array" ref="AC48">-IFERROR(INDEX(Management_Salaries,AC$2)/12,0)</f>
        <v>-6536.466124</v>
      </c>
      <c r="AD48" s="123">
        <f t="array" ref="AD48">-IFERROR(INDEX(Management_Salaries,AD$2)/12,0)</f>
        <v>-6536.466124</v>
      </c>
      <c r="AE48" s="123">
        <f t="array" ref="AE48">-IFERROR(INDEX(Management_Salaries,AE$2)/12,0)</f>
        <v>-6536.466124</v>
      </c>
      <c r="AF48" s="123">
        <f t="array" ref="AF48">-IFERROR(INDEX(Management_Salaries,AF$2)/12,0)</f>
        <v>-6536.466124</v>
      </c>
      <c r="AG48" s="123">
        <f t="array" ref="AG48">-IFERROR(INDEX(Management_Salaries,AG$2)/12,0)</f>
        <v>-6536.466124</v>
      </c>
      <c r="AH48" s="123">
        <f t="array" ref="AH48">-IFERROR(INDEX(Management_Salaries,AH$2)/12,0)</f>
        <v>-6536.466124</v>
      </c>
      <c r="AI48" s="123">
        <f t="array" ref="AI48">-IFERROR(INDEX(Management_Salaries,AI$2)/12,0)</f>
        <v>-7584.786082</v>
      </c>
      <c r="AJ48" s="123">
        <f t="array" ref="AJ48">-IFERROR(INDEX(Management_Salaries,AJ$2)/12,0)</f>
        <v>-7584.786082</v>
      </c>
      <c r="AK48" s="123">
        <f t="array" ref="AK48">-IFERROR(INDEX(Management_Salaries,AK$2)/12,0)</f>
        <v>-7584.786082</v>
      </c>
      <c r="AL48" s="123">
        <f t="array" ref="AL48">-IFERROR(INDEX(Management_Salaries,AL$2)/12,0)</f>
        <v>-7584.786082</v>
      </c>
      <c r="AM48" s="123">
        <f t="array" ref="AM48">-IFERROR(INDEX(Management_Salaries,AM$2)/12,0)</f>
        <v>-7584.786082</v>
      </c>
      <c r="AN48" s="123">
        <f t="array" ref="AN48">-IFERROR(INDEX(Management_Salaries,AN$2)/12,0)</f>
        <v>-7584.786082</v>
      </c>
      <c r="AO48" s="123">
        <f t="array" ref="AO48">-IFERROR(INDEX(Management_Salaries,AO$2)/12,0)</f>
        <v>-7584.786082</v>
      </c>
      <c r="AP48" s="123">
        <f t="array" ref="AP48">-IFERROR(INDEX(Management_Salaries,AP$2)/12,0)</f>
        <v>-7584.786082</v>
      </c>
      <c r="AQ48" s="123">
        <f t="array" ref="AQ48">-IFERROR(INDEX(Management_Salaries,AQ$2)/12,0)</f>
        <v>-7584.786082</v>
      </c>
      <c r="AR48" s="123">
        <f t="array" ref="AR48">-IFERROR(INDEX(Management_Salaries,AR$2)/12,0)</f>
        <v>-7584.786082</v>
      </c>
      <c r="AS48" s="123">
        <f t="array" ref="AS48">-IFERROR(INDEX(Management_Salaries,AS$2)/12,0)</f>
        <v>-7584.786082</v>
      </c>
      <c r="AT48" s="123">
        <f t="array" ref="AT48">-IFERROR(INDEX(Management_Salaries,AT$2)/12,0)</f>
        <v>-7584.786082</v>
      </c>
      <c r="AU48" s="123">
        <f t="array" ref="AU48">-IFERROR(INDEX(Management_Salaries,AU$2)/12,0)</f>
        <v>-8288.177335</v>
      </c>
      <c r="AV48" s="123">
        <f t="array" ref="AV48">-IFERROR(INDEX(Management_Salaries,AV$2)/12,0)</f>
        <v>-8288.177335</v>
      </c>
      <c r="AW48" s="123">
        <f t="array" ref="AW48">-IFERROR(INDEX(Management_Salaries,AW$2)/12,0)</f>
        <v>-8288.177335</v>
      </c>
      <c r="AX48" s="123">
        <f t="array" ref="AX48">-IFERROR(INDEX(Management_Salaries,AX$2)/12,0)</f>
        <v>-8288.177335</v>
      </c>
      <c r="AY48" s="123">
        <f t="array" ref="AY48">-IFERROR(INDEX(Management_Salaries,AY$2)/12,0)</f>
        <v>-8288.177335</v>
      </c>
      <c r="AZ48" s="123">
        <f t="array" ref="AZ48">-IFERROR(INDEX(Management_Salaries,AZ$2)/12,0)</f>
        <v>-8288.177335</v>
      </c>
      <c r="BA48" s="123">
        <f t="array" ref="BA48">-IFERROR(INDEX(Management_Salaries,BA$2)/12,0)</f>
        <v>-8288.177335</v>
      </c>
      <c r="BB48" s="123">
        <f t="array" ref="BB48">-IFERROR(INDEX(Management_Salaries,BB$2)/12,0)</f>
        <v>-8288.177335</v>
      </c>
      <c r="BC48" s="123">
        <f t="array" ref="BC48">-IFERROR(INDEX(Management_Salaries,BC$2)/12,0)</f>
        <v>-8288.177335</v>
      </c>
      <c r="BD48" s="123">
        <f t="array" ref="BD48">-IFERROR(INDEX(Management_Salaries,BD$2)/12,0)</f>
        <v>-8288.177335</v>
      </c>
      <c r="BE48" s="123">
        <f t="array" ref="BE48">-IFERROR(INDEX(Management_Salaries,BE$2)/12,0)</f>
        <v>-8288.177335</v>
      </c>
      <c r="BF48" s="123">
        <f t="array" ref="BF48">-IFERROR(INDEX(Management_Salaries,BF$2)/12,0)</f>
        <v>-8288.177335</v>
      </c>
      <c r="BG48" s="123">
        <f t="array" ref="BG48">-IFERROR(INDEX(Management_Salaries,BG$2)/12,0)</f>
        <v>-8976.091966</v>
      </c>
      <c r="BH48" s="123">
        <f t="array" ref="BH48">-IFERROR(INDEX(Management_Salaries,BH$2)/12,0)</f>
        <v>-8976.091966</v>
      </c>
      <c r="BI48" s="123">
        <f t="array" ref="BI48">-IFERROR(INDEX(Management_Salaries,BI$2)/12,0)</f>
        <v>-8976.091966</v>
      </c>
      <c r="BJ48" s="123">
        <f t="array" ref="BJ48">-IFERROR(INDEX(Management_Salaries,BJ$2)/12,0)</f>
        <v>-8976.091966</v>
      </c>
      <c r="BK48" s="123">
        <f t="array" ref="BK48">-IFERROR(INDEX(Management_Salaries,BK$2)/12,0)</f>
        <v>-8976.091966</v>
      </c>
      <c r="BL48" s="123">
        <f t="array" ref="BL48">-IFERROR(INDEX(Management_Salaries,BL$2)/12,0)</f>
        <v>-8976.091966</v>
      </c>
      <c r="BM48" s="123">
        <f t="array" ref="BM48">-IFERROR(INDEX(Management_Salaries,BM$2)/12,0)</f>
        <v>-8976.091966</v>
      </c>
      <c r="BN48" s="123">
        <f t="array" ref="BN48">-IFERROR(INDEX(Management_Salaries,BN$2)/12,0)</f>
        <v>-8976.091966</v>
      </c>
      <c r="BO48" s="123">
        <f t="array" ref="BO48">-IFERROR(INDEX(Management_Salaries,BO$2)/12,0)</f>
        <v>-8976.091966</v>
      </c>
      <c r="BP48" s="123">
        <f t="array" ref="BP48">-IFERROR(INDEX(Management_Salaries,BP$2)/12,0)</f>
        <v>-8976.091966</v>
      </c>
      <c r="BQ48" s="123">
        <f t="array" ref="BQ48">-IFERROR(INDEX(Management_Salaries,BQ$2)/12,0)</f>
        <v>-8976.091966</v>
      </c>
      <c r="BR48" s="123">
        <f t="array" ref="BR48">-IFERROR(INDEX(Management_Salaries,BR$2)/12,0)</f>
        <v>-8976.091966</v>
      </c>
      <c r="BS48" s="75"/>
    </row>
    <row r="49" ht="15.75" customHeight="1">
      <c r="A49" s="91"/>
      <c r="B49" s="295" t="s">
        <v>297</v>
      </c>
      <c r="C49" s="126"/>
      <c r="D49" s="284"/>
      <c r="E49" s="294">
        <f t="array" ref="E49">INDEX(Payroll_Tax,E$1)</f>
        <v>0.2</v>
      </c>
      <c r="F49" s="294">
        <f t="array" ref="F49">INDEX(Payroll_Tax,F$1)</f>
        <v>0.2</v>
      </c>
      <c r="G49" s="294">
        <f t="array" ref="G49">INDEX(Payroll_Tax,G$1)</f>
        <v>0.2</v>
      </c>
      <c r="H49" s="294">
        <f t="array" ref="H49">INDEX(Payroll_Tax,H$1)</f>
        <v>0.2</v>
      </c>
      <c r="I49" s="294">
        <f t="array" ref="I49">INDEX(Payroll_Tax,I$1)</f>
        <v>0.2</v>
      </c>
      <c r="J49" s="92"/>
      <c r="K49" s="294">
        <f t="array" ref="K49">INDEX(Payroll_Tax,K$2)</f>
        <v>0.2</v>
      </c>
      <c r="L49" s="294">
        <f t="array" ref="L49">INDEX(Payroll_Tax,L$2)</f>
        <v>0.2</v>
      </c>
      <c r="M49" s="294">
        <f t="array" ref="M49">INDEX(Payroll_Tax,M$2)</f>
        <v>0.2</v>
      </c>
      <c r="N49" s="294">
        <f t="array" ref="N49">INDEX(Payroll_Tax,N$2)</f>
        <v>0.2</v>
      </c>
      <c r="O49" s="294">
        <f t="array" ref="O49">INDEX(Payroll_Tax,O$2)</f>
        <v>0.2</v>
      </c>
      <c r="P49" s="294">
        <f t="array" ref="P49">INDEX(Payroll_Tax,P$2)</f>
        <v>0.2</v>
      </c>
      <c r="Q49" s="294">
        <f t="array" ref="Q49">INDEX(Payroll_Tax,Q$2)</f>
        <v>0.2</v>
      </c>
      <c r="R49" s="294">
        <f t="array" ref="R49">INDEX(Payroll_Tax,R$2)</f>
        <v>0.2</v>
      </c>
      <c r="S49" s="294">
        <f t="array" ref="S49">INDEX(Payroll_Tax,S$2)</f>
        <v>0.2</v>
      </c>
      <c r="T49" s="294">
        <f t="array" ref="T49">INDEX(Payroll_Tax,T$2)</f>
        <v>0.2</v>
      </c>
      <c r="U49" s="294">
        <f t="array" ref="U49">INDEX(Payroll_Tax,U$2)</f>
        <v>0.2</v>
      </c>
      <c r="V49" s="294">
        <f t="array" ref="V49">INDEX(Payroll_Tax,V$2)</f>
        <v>0.2</v>
      </c>
      <c r="W49" s="294">
        <f t="array" ref="W49">INDEX(Payroll_Tax,W$2)</f>
        <v>0.2</v>
      </c>
      <c r="X49" s="294">
        <f t="array" ref="X49">INDEX(Payroll_Tax,X$2)</f>
        <v>0.2</v>
      </c>
      <c r="Y49" s="294">
        <f t="array" ref="Y49">INDEX(Payroll_Tax,Y$2)</f>
        <v>0.2</v>
      </c>
      <c r="Z49" s="294">
        <f t="array" ref="Z49">INDEX(Payroll_Tax,Z$2)</f>
        <v>0.2</v>
      </c>
      <c r="AA49" s="294">
        <f t="array" ref="AA49">INDEX(Payroll_Tax,AA$2)</f>
        <v>0.2</v>
      </c>
      <c r="AB49" s="294">
        <f t="array" ref="AB49">INDEX(Payroll_Tax,AB$2)</f>
        <v>0.2</v>
      </c>
      <c r="AC49" s="294">
        <f t="array" ref="AC49">INDEX(Payroll_Tax,AC$2)</f>
        <v>0.2</v>
      </c>
      <c r="AD49" s="294">
        <f t="array" ref="AD49">INDEX(Payroll_Tax,AD$2)</f>
        <v>0.2</v>
      </c>
      <c r="AE49" s="294">
        <f t="array" ref="AE49">INDEX(Payroll_Tax,AE$2)</f>
        <v>0.2</v>
      </c>
      <c r="AF49" s="294">
        <f t="array" ref="AF49">INDEX(Payroll_Tax,AF$2)</f>
        <v>0.2</v>
      </c>
      <c r="AG49" s="294">
        <f t="array" ref="AG49">INDEX(Payroll_Tax,AG$2)</f>
        <v>0.2</v>
      </c>
      <c r="AH49" s="294">
        <f t="array" ref="AH49">INDEX(Payroll_Tax,AH$2)</f>
        <v>0.2</v>
      </c>
      <c r="AI49" s="294">
        <f t="array" ref="AI49">INDEX(Payroll_Tax,AI$2)</f>
        <v>0.2</v>
      </c>
      <c r="AJ49" s="294">
        <f t="array" ref="AJ49">INDEX(Payroll_Tax,AJ$2)</f>
        <v>0.2</v>
      </c>
      <c r="AK49" s="294">
        <f t="array" ref="AK49">INDEX(Payroll_Tax,AK$2)</f>
        <v>0.2</v>
      </c>
      <c r="AL49" s="294">
        <f t="array" ref="AL49">INDEX(Payroll_Tax,AL$2)</f>
        <v>0.2</v>
      </c>
      <c r="AM49" s="294">
        <f t="array" ref="AM49">INDEX(Payroll_Tax,AM$2)</f>
        <v>0.2</v>
      </c>
      <c r="AN49" s="294">
        <f t="array" ref="AN49">INDEX(Payroll_Tax,AN$2)</f>
        <v>0.2</v>
      </c>
      <c r="AO49" s="294">
        <f t="array" ref="AO49">INDEX(Payroll_Tax,AO$2)</f>
        <v>0.2</v>
      </c>
      <c r="AP49" s="294">
        <f t="array" ref="AP49">INDEX(Payroll_Tax,AP$2)</f>
        <v>0.2</v>
      </c>
      <c r="AQ49" s="294">
        <f t="array" ref="AQ49">INDEX(Payroll_Tax,AQ$2)</f>
        <v>0.2</v>
      </c>
      <c r="AR49" s="294">
        <f t="array" ref="AR49">INDEX(Payroll_Tax,AR$2)</f>
        <v>0.2</v>
      </c>
      <c r="AS49" s="294">
        <f t="array" ref="AS49">INDEX(Payroll_Tax,AS$2)</f>
        <v>0.2</v>
      </c>
      <c r="AT49" s="294">
        <f t="array" ref="AT49">INDEX(Payroll_Tax,AT$2)</f>
        <v>0.2</v>
      </c>
      <c r="AU49" s="294">
        <f t="array" ref="AU49">INDEX(Payroll_Tax,AU$2)</f>
        <v>0.2</v>
      </c>
      <c r="AV49" s="294">
        <f t="array" ref="AV49">INDEX(Payroll_Tax,AV$2)</f>
        <v>0.2</v>
      </c>
      <c r="AW49" s="294">
        <f t="array" ref="AW49">INDEX(Payroll_Tax,AW$2)</f>
        <v>0.2</v>
      </c>
      <c r="AX49" s="294">
        <f t="array" ref="AX49">INDEX(Payroll_Tax,AX$2)</f>
        <v>0.2</v>
      </c>
      <c r="AY49" s="294">
        <f t="array" ref="AY49">INDEX(Payroll_Tax,AY$2)</f>
        <v>0.2</v>
      </c>
      <c r="AZ49" s="294">
        <f t="array" ref="AZ49">INDEX(Payroll_Tax,AZ$2)</f>
        <v>0.2</v>
      </c>
      <c r="BA49" s="294">
        <f t="array" ref="BA49">INDEX(Payroll_Tax,BA$2)</f>
        <v>0.2</v>
      </c>
      <c r="BB49" s="294">
        <f t="array" ref="BB49">INDEX(Payroll_Tax,BB$2)</f>
        <v>0.2</v>
      </c>
      <c r="BC49" s="294">
        <f t="array" ref="BC49">INDEX(Payroll_Tax,BC$2)</f>
        <v>0.2</v>
      </c>
      <c r="BD49" s="294">
        <f t="array" ref="BD49">INDEX(Payroll_Tax,BD$2)</f>
        <v>0.2</v>
      </c>
      <c r="BE49" s="294">
        <f t="array" ref="BE49">INDEX(Payroll_Tax,BE$2)</f>
        <v>0.2</v>
      </c>
      <c r="BF49" s="294">
        <f t="array" ref="BF49">INDEX(Payroll_Tax,BF$2)</f>
        <v>0.2</v>
      </c>
      <c r="BG49" s="294">
        <f t="array" ref="BG49">INDEX(Payroll_Tax,BG$2)</f>
        <v>0.2</v>
      </c>
      <c r="BH49" s="294">
        <f t="array" ref="BH49">INDEX(Payroll_Tax,BH$2)</f>
        <v>0.2</v>
      </c>
      <c r="BI49" s="294">
        <f t="array" ref="BI49">INDEX(Payroll_Tax,BI$2)</f>
        <v>0.2</v>
      </c>
      <c r="BJ49" s="294">
        <f t="array" ref="BJ49">INDEX(Payroll_Tax,BJ$2)</f>
        <v>0.2</v>
      </c>
      <c r="BK49" s="294">
        <f t="array" ref="BK49">INDEX(Payroll_Tax,BK$2)</f>
        <v>0.2</v>
      </c>
      <c r="BL49" s="294">
        <f t="array" ref="BL49">INDEX(Payroll_Tax,BL$2)</f>
        <v>0.2</v>
      </c>
      <c r="BM49" s="294">
        <f t="array" ref="BM49">INDEX(Payroll_Tax,BM$2)</f>
        <v>0.2</v>
      </c>
      <c r="BN49" s="294">
        <f t="array" ref="BN49">INDEX(Payroll_Tax,BN$2)</f>
        <v>0.2</v>
      </c>
      <c r="BO49" s="294">
        <f t="array" ref="BO49">INDEX(Payroll_Tax,BO$2)</f>
        <v>0.2</v>
      </c>
      <c r="BP49" s="294">
        <f t="array" ref="BP49">INDEX(Payroll_Tax,BP$2)</f>
        <v>0.2</v>
      </c>
      <c r="BQ49" s="294">
        <f t="array" ref="BQ49">INDEX(Payroll_Tax,BQ$2)</f>
        <v>0.2</v>
      </c>
      <c r="BR49" s="294">
        <f t="array" ref="BR49">INDEX(Payroll_Tax,BR$2)</f>
        <v>0.2</v>
      </c>
      <c r="BS49" s="126"/>
    </row>
    <row r="50" ht="15.75" customHeight="1">
      <c r="A50" s="80"/>
      <c r="B50" s="297" t="s">
        <v>167</v>
      </c>
      <c r="C50" s="75"/>
      <c r="D50" s="82"/>
      <c r="E50" s="123">
        <f t="shared" ref="E50:I50" si="34">SUMIFS($K50:$BR50,$K$2:$BR$2,E$1)</f>
        <v>-8688.081639</v>
      </c>
      <c r="F50" s="123">
        <f t="shared" si="34"/>
        <v>-31034.00438</v>
      </c>
      <c r="G50" s="123">
        <f t="shared" si="34"/>
        <v>-36011.24523</v>
      </c>
      <c r="H50" s="123">
        <f t="shared" si="34"/>
        <v>-39350.82456</v>
      </c>
      <c r="I50" s="123">
        <f t="shared" si="34"/>
        <v>-42616.92359</v>
      </c>
      <c r="J50" s="92"/>
      <c r="K50" s="123">
        <f t="shared" ref="K50:BR50" si="35">(K48+K42)*K49</f>
        <v>-395.2455</v>
      </c>
      <c r="L50" s="123">
        <f t="shared" si="35"/>
        <v>-497.7165556</v>
      </c>
      <c r="M50" s="123">
        <f t="shared" si="35"/>
        <v>-548.9520833</v>
      </c>
      <c r="N50" s="123">
        <f t="shared" si="35"/>
        <v>-600.1876111</v>
      </c>
      <c r="O50" s="123">
        <f t="shared" si="35"/>
        <v>-651.4231389</v>
      </c>
      <c r="P50" s="123">
        <f t="shared" si="35"/>
        <v>-702.6586667</v>
      </c>
      <c r="Q50" s="123">
        <f t="shared" si="35"/>
        <v>-753.8941944</v>
      </c>
      <c r="R50" s="123">
        <f t="shared" si="35"/>
        <v>-805.1297222</v>
      </c>
      <c r="S50" s="123">
        <f t="shared" si="35"/>
        <v>-856.36525</v>
      </c>
      <c r="T50" s="123">
        <f t="shared" si="35"/>
        <v>-907.6007778</v>
      </c>
      <c r="U50" s="123">
        <f t="shared" si="35"/>
        <v>-958.8363056</v>
      </c>
      <c r="V50" s="123">
        <f t="shared" si="35"/>
        <v>-1010.071833</v>
      </c>
      <c r="W50" s="123">
        <f t="shared" si="35"/>
        <v>-2368.600586</v>
      </c>
      <c r="X50" s="123">
        <f t="shared" si="35"/>
        <v>-2419.836114</v>
      </c>
      <c r="Y50" s="123">
        <f t="shared" si="35"/>
        <v>-2471.071642</v>
      </c>
      <c r="Z50" s="123">
        <f t="shared" si="35"/>
        <v>-2522.307169</v>
      </c>
      <c r="AA50" s="123">
        <f t="shared" si="35"/>
        <v>-2573.542697</v>
      </c>
      <c r="AB50" s="123">
        <f t="shared" si="35"/>
        <v>-2624.778225</v>
      </c>
      <c r="AC50" s="123">
        <f t="shared" si="35"/>
        <v>-2639.050979</v>
      </c>
      <c r="AD50" s="123">
        <f t="shared" si="35"/>
        <v>-2653.478355</v>
      </c>
      <c r="AE50" s="123">
        <f t="shared" si="35"/>
        <v>-2668.062027</v>
      </c>
      <c r="AF50" s="123">
        <f t="shared" si="35"/>
        <v>-2682.803689</v>
      </c>
      <c r="AG50" s="123">
        <f t="shared" si="35"/>
        <v>-2697.705052</v>
      </c>
      <c r="AH50" s="123">
        <f t="shared" si="35"/>
        <v>-2712.767847</v>
      </c>
      <c r="AI50" s="123">
        <f t="shared" si="35"/>
        <v>-2934.144127</v>
      </c>
      <c r="AJ50" s="123">
        <f t="shared" si="35"/>
        <v>-2945.954018</v>
      </c>
      <c r="AK50" s="123">
        <f t="shared" si="35"/>
        <v>-2957.862325</v>
      </c>
      <c r="AL50" s="123">
        <f t="shared" si="35"/>
        <v>-2969.869867</v>
      </c>
      <c r="AM50" s="123">
        <f t="shared" si="35"/>
        <v>-2981.977473</v>
      </c>
      <c r="AN50" s="123">
        <f t="shared" si="35"/>
        <v>-2994.185975</v>
      </c>
      <c r="AO50" s="123">
        <f t="shared" si="35"/>
        <v>-3006.496215</v>
      </c>
      <c r="AP50" s="123">
        <f t="shared" si="35"/>
        <v>-3018.90904</v>
      </c>
      <c r="AQ50" s="123">
        <f t="shared" si="35"/>
        <v>-3031.425305</v>
      </c>
      <c r="AR50" s="123">
        <f t="shared" si="35"/>
        <v>-3044.045872</v>
      </c>
      <c r="AS50" s="123">
        <f t="shared" si="35"/>
        <v>-3056.771611</v>
      </c>
      <c r="AT50" s="123">
        <f t="shared" si="35"/>
        <v>-3069.603398</v>
      </c>
      <c r="AU50" s="123">
        <f t="shared" si="35"/>
        <v>-3220.632623</v>
      </c>
      <c r="AV50" s="123">
        <f t="shared" si="35"/>
        <v>-3231.052604</v>
      </c>
      <c r="AW50" s="123">
        <f t="shared" si="35"/>
        <v>-3241.542051</v>
      </c>
      <c r="AX50" s="123">
        <f t="shared" si="35"/>
        <v>-3252.101428</v>
      </c>
      <c r="AY50" s="123">
        <f t="shared" si="35"/>
        <v>-3262.731202</v>
      </c>
      <c r="AZ50" s="123">
        <f t="shared" si="35"/>
        <v>-3273.43184</v>
      </c>
      <c r="BA50" s="123">
        <f t="shared" si="35"/>
        <v>-3284.203816</v>
      </c>
      <c r="BB50" s="123">
        <f t="shared" si="35"/>
        <v>-3295.047605</v>
      </c>
      <c r="BC50" s="123">
        <f t="shared" si="35"/>
        <v>-3305.963686</v>
      </c>
      <c r="BD50" s="123">
        <f t="shared" si="35"/>
        <v>-3316.95254</v>
      </c>
      <c r="BE50" s="123">
        <f t="shared" si="35"/>
        <v>-3328.014654</v>
      </c>
      <c r="BF50" s="123">
        <f t="shared" si="35"/>
        <v>-3339.150515</v>
      </c>
      <c r="BG50" s="123">
        <f t="shared" si="35"/>
        <v>-3487.943542</v>
      </c>
      <c r="BH50" s="123">
        <f t="shared" si="35"/>
        <v>-3499.228376</v>
      </c>
      <c r="BI50" s="123">
        <f t="shared" si="35"/>
        <v>-3510.588443</v>
      </c>
      <c r="BJ50" s="123">
        <f t="shared" si="35"/>
        <v>-3522.024243</v>
      </c>
      <c r="BK50" s="123">
        <f t="shared" si="35"/>
        <v>-3533.536282</v>
      </c>
      <c r="BL50" s="123">
        <f t="shared" si="35"/>
        <v>-3545.125068</v>
      </c>
      <c r="BM50" s="123">
        <f t="shared" si="35"/>
        <v>-3556.791113</v>
      </c>
      <c r="BN50" s="123">
        <f t="shared" si="35"/>
        <v>-3568.534931</v>
      </c>
      <c r="BO50" s="123">
        <f t="shared" si="35"/>
        <v>-3580.357041</v>
      </c>
      <c r="BP50" s="123">
        <f t="shared" si="35"/>
        <v>-3592.257965</v>
      </c>
      <c r="BQ50" s="123">
        <f t="shared" si="35"/>
        <v>-3604.238229</v>
      </c>
      <c r="BR50" s="123">
        <f t="shared" si="35"/>
        <v>-3616.298361</v>
      </c>
      <c r="BS50" s="75"/>
    </row>
    <row r="51" ht="15.75" customHeight="1">
      <c r="A51" s="80"/>
      <c r="B51" s="298" t="s">
        <v>298</v>
      </c>
      <c r="C51" s="131"/>
      <c r="D51" s="102"/>
      <c r="E51" s="132">
        <f t="shared" ref="E51:I51" si="36">SUMIFS($K51:$BR51,$K$2:$BR$2,E$1)</f>
        <v>-8688.081639</v>
      </c>
      <c r="F51" s="132">
        <f t="shared" si="36"/>
        <v>-109471.5979</v>
      </c>
      <c r="G51" s="132">
        <f t="shared" si="36"/>
        <v>-127028.6782</v>
      </c>
      <c r="H51" s="132">
        <f t="shared" si="36"/>
        <v>-138808.9526</v>
      </c>
      <c r="I51" s="132">
        <f t="shared" si="36"/>
        <v>-150330.0272</v>
      </c>
      <c r="J51" s="92"/>
      <c r="K51" s="132">
        <f t="shared" ref="K51:BR51" si="37">K48+K50</f>
        <v>-395.2455</v>
      </c>
      <c r="L51" s="132">
        <f t="shared" si="37"/>
        <v>-497.7165556</v>
      </c>
      <c r="M51" s="132">
        <f t="shared" si="37"/>
        <v>-548.9520833</v>
      </c>
      <c r="N51" s="132">
        <f t="shared" si="37"/>
        <v>-600.1876111</v>
      </c>
      <c r="O51" s="132">
        <f t="shared" si="37"/>
        <v>-651.4231389</v>
      </c>
      <c r="P51" s="132">
        <f t="shared" si="37"/>
        <v>-702.6586667</v>
      </c>
      <c r="Q51" s="132">
        <f t="shared" si="37"/>
        <v>-753.8941944</v>
      </c>
      <c r="R51" s="132">
        <f t="shared" si="37"/>
        <v>-805.1297222</v>
      </c>
      <c r="S51" s="132">
        <f t="shared" si="37"/>
        <v>-856.36525</v>
      </c>
      <c r="T51" s="132">
        <f t="shared" si="37"/>
        <v>-907.6007778</v>
      </c>
      <c r="U51" s="132">
        <f t="shared" si="37"/>
        <v>-958.8363056</v>
      </c>
      <c r="V51" s="132">
        <f t="shared" si="37"/>
        <v>-1010.071833</v>
      </c>
      <c r="W51" s="132">
        <f t="shared" si="37"/>
        <v>-8905.06671</v>
      </c>
      <c r="X51" s="132">
        <f t="shared" si="37"/>
        <v>-8956.302238</v>
      </c>
      <c r="Y51" s="132">
        <f t="shared" si="37"/>
        <v>-9007.537766</v>
      </c>
      <c r="Z51" s="132">
        <f t="shared" si="37"/>
        <v>-9058.773294</v>
      </c>
      <c r="AA51" s="132">
        <f t="shared" si="37"/>
        <v>-9110.008821</v>
      </c>
      <c r="AB51" s="132">
        <f t="shared" si="37"/>
        <v>-9161.244349</v>
      </c>
      <c r="AC51" s="132">
        <f t="shared" si="37"/>
        <v>-9175.517103</v>
      </c>
      <c r="AD51" s="132">
        <f t="shared" si="37"/>
        <v>-9189.944479</v>
      </c>
      <c r="AE51" s="132">
        <f t="shared" si="37"/>
        <v>-9204.528151</v>
      </c>
      <c r="AF51" s="132">
        <f t="shared" si="37"/>
        <v>-9219.269813</v>
      </c>
      <c r="AG51" s="132">
        <f t="shared" si="37"/>
        <v>-9234.171177</v>
      </c>
      <c r="AH51" s="132">
        <f t="shared" si="37"/>
        <v>-9249.233971</v>
      </c>
      <c r="AI51" s="132">
        <f t="shared" si="37"/>
        <v>-10518.93021</v>
      </c>
      <c r="AJ51" s="132">
        <f t="shared" si="37"/>
        <v>-10530.7401</v>
      </c>
      <c r="AK51" s="132">
        <f t="shared" si="37"/>
        <v>-10542.64841</v>
      </c>
      <c r="AL51" s="132">
        <f t="shared" si="37"/>
        <v>-10554.65595</v>
      </c>
      <c r="AM51" s="132">
        <f t="shared" si="37"/>
        <v>-10566.76356</v>
      </c>
      <c r="AN51" s="132">
        <f t="shared" si="37"/>
        <v>-10578.97206</v>
      </c>
      <c r="AO51" s="132">
        <f t="shared" si="37"/>
        <v>-10591.2823</v>
      </c>
      <c r="AP51" s="132">
        <f t="shared" si="37"/>
        <v>-10603.69512</v>
      </c>
      <c r="AQ51" s="132">
        <f t="shared" si="37"/>
        <v>-10616.21139</v>
      </c>
      <c r="AR51" s="132">
        <f t="shared" si="37"/>
        <v>-10628.83195</v>
      </c>
      <c r="AS51" s="132">
        <f t="shared" si="37"/>
        <v>-10641.55769</v>
      </c>
      <c r="AT51" s="132">
        <f t="shared" si="37"/>
        <v>-10654.38948</v>
      </c>
      <c r="AU51" s="132">
        <f t="shared" si="37"/>
        <v>-11508.80996</v>
      </c>
      <c r="AV51" s="132">
        <f t="shared" si="37"/>
        <v>-11519.22994</v>
      </c>
      <c r="AW51" s="132">
        <f t="shared" si="37"/>
        <v>-11529.71939</v>
      </c>
      <c r="AX51" s="132">
        <f t="shared" si="37"/>
        <v>-11540.27876</v>
      </c>
      <c r="AY51" s="132">
        <f t="shared" si="37"/>
        <v>-11550.90854</v>
      </c>
      <c r="AZ51" s="132">
        <f t="shared" si="37"/>
        <v>-11561.60917</v>
      </c>
      <c r="BA51" s="132">
        <f t="shared" si="37"/>
        <v>-11572.38115</v>
      </c>
      <c r="BB51" s="132">
        <f t="shared" si="37"/>
        <v>-11583.22494</v>
      </c>
      <c r="BC51" s="132">
        <f t="shared" si="37"/>
        <v>-11594.14102</v>
      </c>
      <c r="BD51" s="132">
        <f t="shared" si="37"/>
        <v>-11605.12988</v>
      </c>
      <c r="BE51" s="132">
        <f t="shared" si="37"/>
        <v>-11616.19199</v>
      </c>
      <c r="BF51" s="132">
        <f t="shared" si="37"/>
        <v>-11627.32785</v>
      </c>
      <c r="BG51" s="132">
        <f t="shared" si="37"/>
        <v>-12464.03551</v>
      </c>
      <c r="BH51" s="132">
        <f t="shared" si="37"/>
        <v>-12475.32034</v>
      </c>
      <c r="BI51" s="132">
        <f t="shared" si="37"/>
        <v>-12486.68041</v>
      </c>
      <c r="BJ51" s="132">
        <f t="shared" si="37"/>
        <v>-12498.11621</v>
      </c>
      <c r="BK51" s="132">
        <f t="shared" si="37"/>
        <v>-12509.62825</v>
      </c>
      <c r="BL51" s="132">
        <f t="shared" si="37"/>
        <v>-12521.21703</v>
      </c>
      <c r="BM51" s="132">
        <f t="shared" si="37"/>
        <v>-12532.88308</v>
      </c>
      <c r="BN51" s="132">
        <f t="shared" si="37"/>
        <v>-12544.6269</v>
      </c>
      <c r="BO51" s="132">
        <f t="shared" si="37"/>
        <v>-12556.44901</v>
      </c>
      <c r="BP51" s="132">
        <f t="shared" si="37"/>
        <v>-12568.34993</v>
      </c>
      <c r="BQ51" s="132">
        <f t="shared" si="37"/>
        <v>-12580.33019</v>
      </c>
      <c r="BR51" s="132">
        <f t="shared" si="37"/>
        <v>-12592.39033</v>
      </c>
      <c r="BS51" s="75"/>
    </row>
    <row r="52" ht="7.5" customHeight="1">
      <c r="A52" s="80"/>
      <c r="B52" s="75"/>
      <c r="C52" s="81"/>
      <c r="D52" s="82"/>
      <c r="E52" s="82"/>
      <c r="F52" s="82"/>
      <c r="G52" s="82"/>
      <c r="H52" s="82"/>
      <c r="I52" s="82"/>
      <c r="J52" s="92"/>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86"/>
      <c r="BL52" s="286"/>
      <c r="BM52" s="286"/>
      <c r="BN52" s="286"/>
      <c r="BO52" s="286"/>
      <c r="BP52" s="286"/>
      <c r="BQ52" s="286"/>
      <c r="BR52" s="286"/>
      <c r="BS52" s="82"/>
    </row>
    <row r="53" ht="15.75" customHeight="1">
      <c r="A53" s="80"/>
      <c r="B53" s="297" t="s">
        <v>164</v>
      </c>
      <c r="C53" s="75"/>
      <c r="D53" s="82"/>
      <c r="E53" s="123">
        <f t="shared" ref="E53:I53" si="38">SUMIFS($K53:$BR53,$K$2:$BR$2,E$1)</f>
        <v>-40000</v>
      </c>
      <c r="F53" s="123">
        <f t="shared" si="38"/>
        <v>-41200</v>
      </c>
      <c r="G53" s="123">
        <f t="shared" si="38"/>
        <v>-42436</v>
      </c>
      <c r="H53" s="123">
        <f t="shared" si="38"/>
        <v>-43709.08</v>
      </c>
      <c r="I53" s="123">
        <f t="shared" si="38"/>
        <v>-45020.3524</v>
      </c>
      <c r="J53" s="92"/>
      <c r="K53" s="123">
        <f t="array" ref="K53">-IFERROR(INDEX(Facilities,K$2)/12,0)</f>
        <v>-3333.333333</v>
      </c>
      <c r="L53" s="123">
        <f t="array" ref="L53">-IFERROR(INDEX(Facilities,L$2)/12,0)</f>
        <v>-3333.333333</v>
      </c>
      <c r="M53" s="123">
        <f t="array" ref="M53">-IFERROR(INDEX(Facilities,M$2)/12,0)</f>
        <v>-3333.333333</v>
      </c>
      <c r="N53" s="123">
        <f t="array" ref="N53">-IFERROR(INDEX(Facilities,N$2)/12,0)</f>
        <v>-3333.333333</v>
      </c>
      <c r="O53" s="123">
        <f t="array" ref="O53">-IFERROR(INDEX(Facilities,O$2)/12,0)</f>
        <v>-3333.333333</v>
      </c>
      <c r="P53" s="123">
        <f t="array" ref="P53">-IFERROR(INDEX(Facilities,P$2)/12,0)</f>
        <v>-3333.333333</v>
      </c>
      <c r="Q53" s="123">
        <f t="array" ref="Q53">-IFERROR(INDEX(Facilities,Q$2)/12,0)</f>
        <v>-3333.333333</v>
      </c>
      <c r="R53" s="123">
        <f t="array" ref="R53">-IFERROR(INDEX(Facilities,R$2)/12,0)</f>
        <v>-3333.333333</v>
      </c>
      <c r="S53" s="123">
        <f t="array" ref="S53">-IFERROR(INDEX(Facilities,S$2)/12,0)</f>
        <v>-3333.333333</v>
      </c>
      <c r="T53" s="123">
        <f t="array" ref="T53">-IFERROR(INDEX(Facilities,T$2)/12,0)</f>
        <v>-3333.333333</v>
      </c>
      <c r="U53" s="123">
        <f t="array" ref="U53">-IFERROR(INDEX(Facilities,U$2)/12,0)</f>
        <v>-3333.333333</v>
      </c>
      <c r="V53" s="123">
        <f t="array" ref="V53">-IFERROR(INDEX(Facilities,V$2)/12,0)</f>
        <v>-3333.333333</v>
      </c>
      <c r="W53" s="123">
        <f t="array" ref="W53">-IFERROR(INDEX(Facilities,W$2)/12,0)</f>
        <v>-3433.333333</v>
      </c>
      <c r="X53" s="123">
        <f t="array" ref="X53">-IFERROR(INDEX(Facilities,X$2)/12,0)</f>
        <v>-3433.333333</v>
      </c>
      <c r="Y53" s="123">
        <f t="array" ref="Y53">-IFERROR(INDEX(Facilities,Y$2)/12,0)</f>
        <v>-3433.333333</v>
      </c>
      <c r="Z53" s="123">
        <f t="array" ref="Z53">-IFERROR(INDEX(Facilities,Z$2)/12,0)</f>
        <v>-3433.333333</v>
      </c>
      <c r="AA53" s="123">
        <f t="array" ref="AA53">-IFERROR(INDEX(Facilities,AA$2)/12,0)</f>
        <v>-3433.333333</v>
      </c>
      <c r="AB53" s="123">
        <f t="array" ref="AB53">-IFERROR(INDEX(Facilities,AB$2)/12,0)</f>
        <v>-3433.333333</v>
      </c>
      <c r="AC53" s="123">
        <f t="array" ref="AC53">-IFERROR(INDEX(Facilities,AC$2)/12,0)</f>
        <v>-3433.333333</v>
      </c>
      <c r="AD53" s="123">
        <f t="array" ref="AD53">-IFERROR(INDEX(Facilities,AD$2)/12,0)</f>
        <v>-3433.333333</v>
      </c>
      <c r="AE53" s="123">
        <f t="array" ref="AE53">-IFERROR(INDEX(Facilities,AE$2)/12,0)</f>
        <v>-3433.333333</v>
      </c>
      <c r="AF53" s="123">
        <f t="array" ref="AF53">-IFERROR(INDEX(Facilities,AF$2)/12,0)</f>
        <v>-3433.333333</v>
      </c>
      <c r="AG53" s="123">
        <f t="array" ref="AG53">-IFERROR(INDEX(Facilities,AG$2)/12,0)</f>
        <v>-3433.333333</v>
      </c>
      <c r="AH53" s="123">
        <f t="array" ref="AH53">-IFERROR(INDEX(Facilities,AH$2)/12,0)</f>
        <v>-3433.333333</v>
      </c>
      <c r="AI53" s="123">
        <f t="array" ref="AI53">-IFERROR(INDEX(Facilities,AI$2)/12,0)</f>
        <v>-3536.333333</v>
      </c>
      <c r="AJ53" s="123">
        <f t="array" ref="AJ53">-IFERROR(INDEX(Facilities,AJ$2)/12,0)</f>
        <v>-3536.333333</v>
      </c>
      <c r="AK53" s="123">
        <f t="array" ref="AK53">-IFERROR(INDEX(Facilities,AK$2)/12,0)</f>
        <v>-3536.333333</v>
      </c>
      <c r="AL53" s="123">
        <f t="array" ref="AL53">-IFERROR(INDEX(Facilities,AL$2)/12,0)</f>
        <v>-3536.333333</v>
      </c>
      <c r="AM53" s="123">
        <f t="array" ref="AM53">-IFERROR(INDEX(Facilities,AM$2)/12,0)</f>
        <v>-3536.333333</v>
      </c>
      <c r="AN53" s="123">
        <f t="array" ref="AN53">-IFERROR(INDEX(Facilities,AN$2)/12,0)</f>
        <v>-3536.333333</v>
      </c>
      <c r="AO53" s="123">
        <f t="array" ref="AO53">-IFERROR(INDEX(Facilities,AO$2)/12,0)</f>
        <v>-3536.333333</v>
      </c>
      <c r="AP53" s="123">
        <f t="array" ref="AP53">-IFERROR(INDEX(Facilities,AP$2)/12,0)</f>
        <v>-3536.333333</v>
      </c>
      <c r="AQ53" s="123">
        <f t="array" ref="AQ53">-IFERROR(INDEX(Facilities,AQ$2)/12,0)</f>
        <v>-3536.333333</v>
      </c>
      <c r="AR53" s="123">
        <f t="array" ref="AR53">-IFERROR(INDEX(Facilities,AR$2)/12,0)</f>
        <v>-3536.333333</v>
      </c>
      <c r="AS53" s="123">
        <f t="array" ref="AS53">-IFERROR(INDEX(Facilities,AS$2)/12,0)</f>
        <v>-3536.333333</v>
      </c>
      <c r="AT53" s="123">
        <f t="array" ref="AT53">-IFERROR(INDEX(Facilities,AT$2)/12,0)</f>
        <v>-3536.333333</v>
      </c>
      <c r="AU53" s="123">
        <f t="array" ref="AU53">-IFERROR(INDEX(Facilities,AU$2)/12,0)</f>
        <v>-3642.423333</v>
      </c>
      <c r="AV53" s="123">
        <f t="array" ref="AV53">-IFERROR(INDEX(Facilities,AV$2)/12,0)</f>
        <v>-3642.423333</v>
      </c>
      <c r="AW53" s="123">
        <f t="array" ref="AW53">-IFERROR(INDEX(Facilities,AW$2)/12,0)</f>
        <v>-3642.423333</v>
      </c>
      <c r="AX53" s="123">
        <f t="array" ref="AX53">-IFERROR(INDEX(Facilities,AX$2)/12,0)</f>
        <v>-3642.423333</v>
      </c>
      <c r="AY53" s="123">
        <f t="array" ref="AY53">-IFERROR(INDEX(Facilities,AY$2)/12,0)</f>
        <v>-3642.423333</v>
      </c>
      <c r="AZ53" s="123">
        <f t="array" ref="AZ53">-IFERROR(INDEX(Facilities,AZ$2)/12,0)</f>
        <v>-3642.423333</v>
      </c>
      <c r="BA53" s="123">
        <f t="array" ref="BA53">-IFERROR(INDEX(Facilities,BA$2)/12,0)</f>
        <v>-3642.423333</v>
      </c>
      <c r="BB53" s="123">
        <f t="array" ref="BB53">-IFERROR(INDEX(Facilities,BB$2)/12,0)</f>
        <v>-3642.423333</v>
      </c>
      <c r="BC53" s="123">
        <f t="array" ref="BC53">-IFERROR(INDEX(Facilities,BC$2)/12,0)</f>
        <v>-3642.423333</v>
      </c>
      <c r="BD53" s="123">
        <f t="array" ref="BD53">-IFERROR(INDEX(Facilities,BD$2)/12,0)</f>
        <v>-3642.423333</v>
      </c>
      <c r="BE53" s="123">
        <f t="array" ref="BE53">-IFERROR(INDEX(Facilities,BE$2)/12,0)</f>
        <v>-3642.423333</v>
      </c>
      <c r="BF53" s="123">
        <f t="array" ref="BF53">-IFERROR(INDEX(Facilities,BF$2)/12,0)</f>
        <v>-3642.423333</v>
      </c>
      <c r="BG53" s="123">
        <f t="array" ref="BG53">-IFERROR(INDEX(Facilities,BG$2)/12,0)</f>
        <v>-3751.696033</v>
      </c>
      <c r="BH53" s="123">
        <f t="array" ref="BH53">-IFERROR(INDEX(Facilities,BH$2)/12,0)</f>
        <v>-3751.696033</v>
      </c>
      <c r="BI53" s="123">
        <f t="array" ref="BI53">-IFERROR(INDEX(Facilities,BI$2)/12,0)</f>
        <v>-3751.696033</v>
      </c>
      <c r="BJ53" s="123">
        <f t="array" ref="BJ53">-IFERROR(INDEX(Facilities,BJ$2)/12,0)</f>
        <v>-3751.696033</v>
      </c>
      <c r="BK53" s="123">
        <f t="array" ref="BK53">-IFERROR(INDEX(Facilities,BK$2)/12,0)</f>
        <v>-3751.696033</v>
      </c>
      <c r="BL53" s="123">
        <f t="array" ref="BL53">-IFERROR(INDEX(Facilities,BL$2)/12,0)</f>
        <v>-3751.696033</v>
      </c>
      <c r="BM53" s="123">
        <f t="array" ref="BM53">-IFERROR(INDEX(Facilities,BM$2)/12,0)</f>
        <v>-3751.696033</v>
      </c>
      <c r="BN53" s="123">
        <f t="array" ref="BN53">-IFERROR(INDEX(Facilities,BN$2)/12,0)</f>
        <v>-3751.696033</v>
      </c>
      <c r="BO53" s="123">
        <f t="array" ref="BO53">-IFERROR(INDEX(Facilities,BO$2)/12,0)</f>
        <v>-3751.696033</v>
      </c>
      <c r="BP53" s="123">
        <f t="array" ref="BP53">-IFERROR(INDEX(Facilities,BP$2)/12,0)</f>
        <v>-3751.696033</v>
      </c>
      <c r="BQ53" s="123">
        <f t="array" ref="BQ53">-IFERROR(INDEX(Facilities,BQ$2)/12,0)</f>
        <v>-3751.696033</v>
      </c>
      <c r="BR53" s="123">
        <f t="array" ref="BR53">-IFERROR(INDEX(Facilities,BR$2)/12,0)</f>
        <v>-3751.696033</v>
      </c>
      <c r="BS53" s="75"/>
    </row>
    <row r="54" ht="15.75" customHeight="1">
      <c r="A54" s="80"/>
      <c r="B54" s="298" t="s">
        <v>164</v>
      </c>
      <c r="C54" s="131"/>
      <c r="D54" s="102"/>
      <c r="E54" s="132">
        <f t="shared" ref="E54:I54" si="39">SUMIFS($K54:$BR54,$K$2:$BR$2,E$1)</f>
        <v>-40000</v>
      </c>
      <c r="F54" s="132">
        <f t="shared" si="39"/>
        <v>-41200</v>
      </c>
      <c r="G54" s="132">
        <f t="shared" si="39"/>
        <v>-42436</v>
      </c>
      <c r="H54" s="132">
        <f t="shared" si="39"/>
        <v>-43709.08</v>
      </c>
      <c r="I54" s="132">
        <f t="shared" si="39"/>
        <v>-45020.3524</v>
      </c>
      <c r="J54" s="92"/>
      <c r="K54" s="132">
        <f t="shared" ref="K54:BR54" si="40">K53</f>
        <v>-3333.333333</v>
      </c>
      <c r="L54" s="132">
        <f t="shared" si="40"/>
        <v>-3333.333333</v>
      </c>
      <c r="M54" s="132">
        <f t="shared" si="40"/>
        <v>-3333.333333</v>
      </c>
      <c r="N54" s="132">
        <f t="shared" si="40"/>
        <v>-3333.333333</v>
      </c>
      <c r="O54" s="132">
        <f t="shared" si="40"/>
        <v>-3333.333333</v>
      </c>
      <c r="P54" s="132">
        <f t="shared" si="40"/>
        <v>-3333.333333</v>
      </c>
      <c r="Q54" s="132">
        <f t="shared" si="40"/>
        <v>-3333.333333</v>
      </c>
      <c r="R54" s="132">
        <f t="shared" si="40"/>
        <v>-3333.333333</v>
      </c>
      <c r="S54" s="132">
        <f t="shared" si="40"/>
        <v>-3333.333333</v>
      </c>
      <c r="T54" s="132">
        <f t="shared" si="40"/>
        <v>-3333.333333</v>
      </c>
      <c r="U54" s="132">
        <f t="shared" si="40"/>
        <v>-3333.333333</v>
      </c>
      <c r="V54" s="132">
        <f t="shared" si="40"/>
        <v>-3333.333333</v>
      </c>
      <c r="W54" s="132">
        <f t="shared" si="40"/>
        <v>-3433.333333</v>
      </c>
      <c r="X54" s="132">
        <f t="shared" si="40"/>
        <v>-3433.333333</v>
      </c>
      <c r="Y54" s="132">
        <f t="shared" si="40"/>
        <v>-3433.333333</v>
      </c>
      <c r="Z54" s="132">
        <f t="shared" si="40"/>
        <v>-3433.333333</v>
      </c>
      <c r="AA54" s="132">
        <f t="shared" si="40"/>
        <v>-3433.333333</v>
      </c>
      <c r="AB54" s="132">
        <f t="shared" si="40"/>
        <v>-3433.333333</v>
      </c>
      <c r="AC54" s="132">
        <f t="shared" si="40"/>
        <v>-3433.333333</v>
      </c>
      <c r="AD54" s="132">
        <f t="shared" si="40"/>
        <v>-3433.333333</v>
      </c>
      <c r="AE54" s="132">
        <f t="shared" si="40"/>
        <v>-3433.333333</v>
      </c>
      <c r="AF54" s="132">
        <f t="shared" si="40"/>
        <v>-3433.333333</v>
      </c>
      <c r="AG54" s="132">
        <f t="shared" si="40"/>
        <v>-3433.333333</v>
      </c>
      <c r="AH54" s="132">
        <f t="shared" si="40"/>
        <v>-3433.333333</v>
      </c>
      <c r="AI54" s="132">
        <f t="shared" si="40"/>
        <v>-3536.333333</v>
      </c>
      <c r="AJ54" s="132">
        <f t="shared" si="40"/>
        <v>-3536.333333</v>
      </c>
      <c r="AK54" s="132">
        <f t="shared" si="40"/>
        <v>-3536.333333</v>
      </c>
      <c r="AL54" s="132">
        <f t="shared" si="40"/>
        <v>-3536.333333</v>
      </c>
      <c r="AM54" s="132">
        <f t="shared" si="40"/>
        <v>-3536.333333</v>
      </c>
      <c r="AN54" s="132">
        <f t="shared" si="40"/>
        <v>-3536.333333</v>
      </c>
      <c r="AO54" s="132">
        <f t="shared" si="40"/>
        <v>-3536.333333</v>
      </c>
      <c r="AP54" s="132">
        <f t="shared" si="40"/>
        <v>-3536.333333</v>
      </c>
      <c r="AQ54" s="132">
        <f t="shared" si="40"/>
        <v>-3536.333333</v>
      </c>
      <c r="AR54" s="132">
        <f t="shared" si="40"/>
        <v>-3536.333333</v>
      </c>
      <c r="AS54" s="132">
        <f t="shared" si="40"/>
        <v>-3536.333333</v>
      </c>
      <c r="AT54" s="132">
        <f t="shared" si="40"/>
        <v>-3536.333333</v>
      </c>
      <c r="AU54" s="132">
        <f t="shared" si="40"/>
        <v>-3642.423333</v>
      </c>
      <c r="AV54" s="132">
        <f t="shared" si="40"/>
        <v>-3642.423333</v>
      </c>
      <c r="AW54" s="132">
        <f t="shared" si="40"/>
        <v>-3642.423333</v>
      </c>
      <c r="AX54" s="132">
        <f t="shared" si="40"/>
        <v>-3642.423333</v>
      </c>
      <c r="AY54" s="132">
        <f t="shared" si="40"/>
        <v>-3642.423333</v>
      </c>
      <c r="AZ54" s="132">
        <f t="shared" si="40"/>
        <v>-3642.423333</v>
      </c>
      <c r="BA54" s="132">
        <f t="shared" si="40"/>
        <v>-3642.423333</v>
      </c>
      <c r="BB54" s="132">
        <f t="shared" si="40"/>
        <v>-3642.423333</v>
      </c>
      <c r="BC54" s="132">
        <f t="shared" si="40"/>
        <v>-3642.423333</v>
      </c>
      <c r="BD54" s="132">
        <f t="shared" si="40"/>
        <v>-3642.423333</v>
      </c>
      <c r="BE54" s="132">
        <f t="shared" si="40"/>
        <v>-3642.423333</v>
      </c>
      <c r="BF54" s="132">
        <f t="shared" si="40"/>
        <v>-3642.423333</v>
      </c>
      <c r="BG54" s="132">
        <f t="shared" si="40"/>
        <v>-3751.696033</v>
      </c>
      <c r="BH54" s="132">
        <f t="shared" si="40"/>
        <v>-3751.696033</v>
      </c>
      <c r="BI54" s="132">
        <f t="shared" si="40"/>
        <v>-3751.696033</v>
      </c>
      <c r="BJ54" s="132">
        <f t="shared" si="40"/>
        <v>-3751.696033</v>
      </c>
      <c r="BK54" s="132">
        <f t="shared" si="40"/>
        <v>-3751.696033</v>
      </c>
      <c r="BL54" s="132">
        <f t="shared" si="40"/>
        <v>-3751.696033</v>
      </c>
      <c r="BM54" s="132">
        <f t="shared" si="40"/>
        <v>-3751.696033</v>
      </c>
      <c r="BN54" s="132">
        <f t="shared" si="40"/>
        <v>-3751.696033</v>
      </c>
      <c r="BO54" s="132">
        <f t="shared" si="40"/>
        <v>-3751.696033</v>
      </c>
      <c r="BP54" s="132">
        <f t="shared" si="40"/>
        <v>-3751.696033</v>
      </c>
      <c r="BQ54" s="132">
        <f t="shared" si="40"/>
        <v>-3751.696033</v>
      </c>
      <c r="BR54" s="132">
        <f t="shared" si="40"/>
        <v>-3751.696033</v>
      </c>
      <c r="BS54" s="75"/>
    </row>
    <row r="55" ht="7.5" customHeight="1">
      <c r="A55" s="80"/>
      <c r="B55" s="297"/>
      <c r="C55" s="81"/>
      <c r="D55" s="82"/>
      <c r="E55" s="82"/>
      <c r="F55" s="82"/>
      <c r="G55" s="82"/>
      <c r="H55" s="82"/>
      <c r="I55" s="82"/>
      <c r="J55" s="92"/>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86"/>
      <c r="BL55" s="286"/>
      <c r="BM55" s="286"/>
      <c r="BN55" s="286"/>
      <c r="BO55" s="286"/>
      <c r="BP55" s="286"/>
      <c r="BQ55" s="286"/>
      <c r="BR55" s="286"/>
      <c r="BS55" s="82"/>
    </row>
    <row r="56" ht="15.75" customHeight="1">
      <c r="A56" s="91"/>
      <c r="B56" s="295" t="s">
        <v>299</v>
      </c>
      <c r="C56" s="126"/>
      <c r="D56" s="284"/>
      <c r="E56" s="294">
        <f t="array" ref="E56">INDEX(Marketing,E$1)</f>
        <v>0.05</v>
      </c>
      <c r="F56" s="294">
        <f t="array" ref="F56">INDEX(Marketing,F$1)</f>
        <v>0.04</v>
      </c>
      <c r="G56" s="294">
        <f t="array" ref="G56">INDEX(Marketing,G$1)</f>
        <v>0.02</v>
      </c>
      <c r="H56" s="294">
        <f t="array" ref="H56">INDEX(Marketing,H$1)</f>
        <v>0.02</v>
      </c>
      <c r="I56" s="294">
        <f t="array" ref="I56">INDEX(Marketing,I$1)</f>
        <v>0.02</v>
      </c>
      <c r="J56" s="92"/>
      <c r="K56" s="294">
        <f t="array" ref="K56">INDEX(Marketing,K$2)</f>
        <v>0.05</v>
      </c>
      <c r="L56" s="294">
        <f t="array" ref="L56">INDEX(Marketing,L$2)</f>
        <v>0.05</v>
      </c>
      <c r="M56" s="294">
        <f t="array" ref="M56">INDEX(Marketing,M$2)</f>
        <v>0.05</v>
      </c>
      <c r="N56" s="294">
        <f t="array" ref="N56">INDEX(Marketing,N$2)</f>
        <v>0.05</v>
      </c>
      <c r="O56" s="294">
        <f t="array" ref="O56">INDEX(Marketing,O$2)</f>
        <v>0.05</v>
      </c>
      <c r="P56" s="294">
        <f t="array" ref="P56">INDEX(Marketing,P$2)</f>
        <v>0.05</v>
      </c>
      <c r="Q56" s="294">
        <f t="array" ref="Q56">INDEX(Marketing,Q$2)</f>
        <v>0.05</v>
      </c>
      <c r="R56" s="294">
        <f t="array" ref="R56">INDEX(Marketing,R$2)</f>
        <v>0.05</v>
      </c>
      <c r="S56" s="294">
        <f t="array" ref="S56">INDEX(Marketing,S$2)</f>
        <v>0.05</v>
      </c>
      <c r="T56" s="294">
        <f t="array" ref="T56">INDEX(Marketing,T$2)</f>
        <v>0.05</v>
      </c>
      <c r="U56" s="294">
        <f t="array" ref="U56">INDEX(Marketing,U$2)</f>
        <v>0.05</v>
      </c>
      <c r="V56" s="294">
        <f t="array" ref="V56">INDEX(Marketing,V$2)</f>
        <v>0.05</v>
      </c>
      <c r="W56" s="294">
        <f t="array" ref="W56">INDEX(Marketing,W$2)</f>
        <v>0.04</v>
      </c>
      <c r="X56" s="294">
        <f t="array" ref="X56">INDEX(Marketing,X$2)</f>
        <v>0.04</v>
      </c>
      <c r="Y56" s="294">
        <f t="array" ref="Y56">INDEX(Marketing,Y$2)</f>
        <v>0.04</v>
      </c>
      <c r="Z56" s="294">
        <f t="array" ref="Z56">INDEX(Marketing,Z$2)</f>
        <v>0.04</v>
      </c>
      <c r="AA56" s="294">
        <f t="array" ref="AA56">INDEX(Marketing,AA$2)</f>
        <v>0.04</v>
      </c>
      <c r="AB56" s="294">
        <f t="array" ref="AB56">INDEX(Marketing,AB$2)</f>
        <v>0.04</v>
      </c>
      <c r="AC56" s="294">
        <f t="array" ref="AC56">INDEX(Marketing,AC$2)</f>
        <v>0.04</v>
      </c>
      <c r="AD56" s="294">
        <f t="array" ref="AD56">INDEX(Marketing,AD$2)</f>
        <v>0.04</v>
      </c>
      <c r="AE56" s="294">
        <f t="array" ref="AE56">INDEX(Marketing,AE$2)</f>
        <v>0.04</v>
      </c>
      <c r="AF56" s="294">
        <f t="array" ref="AF56">INDEX(Marketing,AF$2)</f>
        <v>0.04</v>
      </c>
      <c r="AG56" s="294">
        <f t="array" ref="AG56">INDEX(Marketing,AG$2)</f>
        <v>0.04</v>
      </c>
      <c r="AH56" s="294">
        <f t="array" ref="AH56">INDEX(Marketing,AH$2)</f>
        <v>0.04</v>
      </c>
      <c r="AI56" s="294">
        <f t="array" ref="AI56">INDEX(Marketing,AI$2)</f>
        <v>0.02</v>
      </c>
      <c r="AJ56" s="294">
        <f t="array" ref="AJ56">INDEX(Marketing,AJ$2)</f>
        <v>0.02</v>
      </c>
      <c r="AK56" s="294">
        <f t="array" ref="AK56">INDEX(Marketing,AK$2)</f>
        <v>0.02</v>
      </c>
      <c r="AL56" s="294">
        <f t="array" ref="AL56">INDEX(Marketing,AL$2)</f>
        <v>0.02</v>
      </c>
      <c r="AM56" s="294">
        <f t="array" ref="AM56">INDEX(Marketing,AM$2)</f>
        <v>0.02</v>
      </c>
      <c r="AN56" s="294">
        <f t="array" ref="AN56">INDEX(Marketing,AN$2)</f>
        <v>0.02</v>
      </c>
      <c r="AO56" s="294">
        <f t="array" ref="AO56">INDEX(Marketing,AO$2)</f>
        <v>0.02</v>
      </c>
      <c r="AP56" s="294">
        <f t="array" ref="AP56">INDEX(Marketing,AP$2)</f>
        <v>0.02</v>
      </c>
      <c r="AQ56" s="294">
        <f t="array" ref="AQ56">INDEX(Marketing,AQ$2)</f>
        <v>0.02</v>
      </c>
      <c r="AR56" s="294">
        <f t="array" ref="AR56">INDEX(Marketing,AR$2)</f>
        <v>0.02</v>
      </c>
      <c r="AS56" s="294">
        <f t="array" ref="AS56">INDEX(Marketing,AS$2)</f>
        <v>0.02</v>
      </c>
      <c r="AT56" s="294">
        <f t="array" ref="AT56">INDEX(Marketing,AT$2)</f>
        <v>0.02</v>
      </c>
      <c r="AU56" s="294">
        <f t="array" ref="AU56">INDEX(Marketing,AU$2)</f>
        <v>0.02</v>
      </c>
      <c r="AV56" s="294">
        <f t="array" ref="AV56">INDEX(Marketing,AV$2)</f>
        <v>0.02</v>
      </c>
      <c r="AW56" s="294">
        <f t="array" ref="AW56">INDEX(Marketing,AW$2)</f>
        <v>0.02</v>
      </c>
      <c r="AX56" s="294">
        <f t="array" ref="AX56">INDEX(Marketing,AX$2)</f>
        <v>0.02</v>
      </c>
      <c r="AY56" s="294">
        <f t="array" ref="AY56">INDEX(Marketing,AY$2)</f>
        <v>0.02</v>
      </c>
      <c r="AZ56" s="294">
        <f t="array" ref="AZ56">INDEX(Marketing,AZ$2)</f>
        <v>0.02</v>
      </c>
      <c r="BA56" s="294">
        <f t="array" ref="BA56">INDEX(Marketing,BA$2)</f>
        <v>0.02</v>
      </c>
      <c r="BB56" s="294">
        <f t="array" ref="BB56">INDEX(Marketing,BB$2)</f>
        <v>0.02</v>
      </c>
      <c r="BC56" s="294">
        <f t="array" ref="BC56">INDEX(Marketing,BC$2)</f>
        <v>0.02</v>
      </c>
      <c r="BD56" s="294">
        <f t="array" ref="BD56">INDEX(Marketing,BD$2)</f>
        <v>0.02</v>
      </c>
      <c r="BE56" s="294">
        <f t="array" ref="BE56">INDEX(Marketing,BE$2)</f>
        <v>0.02</v>
      </c>
      <c r="BF56" s="294">
        <f t="array" ref="BF56">INDEX(Marketing,BF$2)</f>
        <v>0.02</v>
      </c>
      <c r="BG56" s="294">
        <f t="array" ref="BG56">INDEX(Marketing,BG$2)</f>
        <v>0.02</v>
      </c>
      <c r="BH56" s="294">
        <f t="array" ref="BH56">INDEX(Marketing,BH$2)</f>
        <v>0.02</v>
      </c>
      <c r="BI56" s="294">
        <f t="array" ref="BI56">INDEX(Marketing,BI$2)</f>
        <v>0.02</v>
      </c>
      <c r="BJ56" s="294">
        <f t="array" ref="BJ56">INDEX(Marketing,BJ$2)</f>
        <v>0.02</v>
      </c>
      <c r="BK56" s="294">
        <f t="array" ref="BK56">INDEX(Marketing,BK$2)</f>
        <v>0.02</v>
      </c>
      <c r="BL56" s="294">
        <f t="array" ref="BL56">INDEX(Marketing,BL$2)</f>
        <v>0.02</v>
      </c>
      <c r="BM56" s="294">
        <f t="array" ref="BM56">INDEX(Marketing,BM$2)</f>
        <v>0.02</v>
      </c>
      <c r="BN56" s="294">
        <f t="array" ref="BN56">INDEX(Marketing,BN$2)</f>
        <v>0.02</v>
      </c>
      <c r="BO56" s="294">
        <f t="array" ref="BO56">INDEX(Marketing,BO$2)</f>
        <v>0.02</v>
      </c>
      <c r="BP56" s="294">
        <f t="array" ref="BP56">INDEX(Marketing,BP$2)</f>
        <v>0.02</v>
      </c>
      <c r="BQ56" s="294">
        <f t="array" ref="BQ56">INDEX(Marketing,BQ$2)</f>
        <v>0.02</v>
      </c>
      <c r="BR56" s="294">
        <f t="array" ref="BR56">INDEX(Marketing,BR$2)</f>
        <v>0.02</v>
      </c>
      <c r="BS56" s="126"/>
    </row>
    <row r="57" ht="15.75" customHeight="1">
      <c r="A57" s="80"/>
      <c r="B57" s="297" t="s">
        <v>165</v>
      </c>
      <c r="C57" s="75"/>
      <c r="D57" s="82"/>
      <c r="E57" s="123">
        <f t="shared" ref="E57:I57" si="41">SUMIFS($K57:$BR57,$K$2:$BR$2,E$1)</f>
        <v>-14480.13606</v>
      </c>
      <c r="F57" s="123">
        <f t="shared" si="41"/>
        <v>-20461.98091</v>
      </c>
      <c r="G57" s="123">
        <f t="shared" si="41"/>
        <v>-11871.83909</v>
      </c>
      <c r="H57" s="123">
        <f t="shared" si="41"/>
        <v>-12972.79931</v>
      </c>
      <c r="I57" s="123">
        <f t="shared" si="41"/>
        <v>-14049.53525</v>
      </c>
      <c r="J57" s="92"/>
      <c r="K57" s="123">
        <f t="shared" ref="K57:BR57" si="42">-K$26*K56</f>
        <v>-658.7425</v>
      </c>
      <c r="L57" s="123">
        <f t="shared" si="42"/>
        <v>-829.5275926</v>
      </c>
      <c r="M57" s="123">
        <f t="shared" si="42"/>
        <v>-914.9201389</v>
      </c>
      <c r="N57" s="123">
        <f t="shared" si="42"/>
        <v>-1000.312685</v>
      </c>
      <c r="O57" s="123">
        <f t="shared" si="42"/>
        <v>-1085.705231</v>
      </c>
      <c r="P57" s="123">
        <f t="shared" si="42"/>
        <v>-1171.097778</v>
      </c>
      <c r="Q57" s="123">
        <f t="shared" si="42"/>
        <v>-1256.490324</v>
      </c>
      <c r="R57" s="123">
        <f t="shared" si="42"/>
        <v>-1341.88287</v>
      </c>
      <c r="S57" s="123">
        <f t="shared" si="42"/>
        <v>-1427.275417</v>
      </c>
      <c r="T57" s="123">
        <f t="shared" si="42"/>
        <v>-1512.667963</v>
      </c>
      <c r="U57" s="123">
        <f t="shared" si="42"/>
        <v>-1598.060509</v>
      </c>
      <c r="V57" s="123">
        <f t="shared" si="42"/>
        <v>-1683.453056</v>
      </c>
      <c r="W57" s="123">
        <f t="shared" si="42"/>
        <v>-1415.076481</v>
      </c>
      <c r="X57" s="123">
        <f t="shared" si="42"/>
        <v>-1483.390519</v>
      </c>
      <c r="Y57" s="123">
        <f t="shared" si="42"/>
        <v>-1551.704556</v>
      </c>
      <c r="Z57" s="123">
        <f t="shared" si="42"/>
        <v>-1620.018593</v>
      </c>
      <c r="AA57" s="123">
        <f t="shared" si="42"/>
        <v>-1688.33263</v>
      </c>
      <c r="AB57" s="123">
        <f t="shared" si="42"/>
        <v>-1756.646667</v>
      </c>
      <c r="AC57" s="123">
        <f t="shared" si="42"/>
        <v>-1775.677006</v>
      </c>
      <c r="AD57" s="123">
        <f t="shared" si="42"/>
        <v>-1794.913506</v>
      </c>
      <c r="AE57" s="123">
        <f t="shared" si="42"/>
        <v>-1814.358403</v>
      </c>
      <c r="AF57" s="123">
        <f t="shared" si="42"/>
        <v>-1834.013952</v>
      </c>
      <c r="AG57" s="123">
        <f t="shared" si="42"/>
        <v>-1853.882437</v>
      </c>
      <c r="AH57" s="123">
        <f t="shared" si="42"/>
        <v>-1873.966163</v>
      </c>
      <c r="AI57" s="123">
        <f t="shared" si="42"/>
        <v>-944.7912739</v>
      </c>
      <c r="AJ57" s="123">
        <f t="shared" si="42"/>
        <v>-952.6645345</v>
      </c>
      <c r="AK57" s="123">
        <f t="shared" si="42"/>
        <v>-960.6034056</v>
      </c>
      <c r="AL57" s="123">
        <f t="shared" si="42"/>
        <v>-968.608434</v>
      </c>
      <c r="AM57" s="123">
        <f t="shared" si="42"/>
        <v>-976.6801709</v>
      </c>
      <c r="AN57" s="123">
        <f t="shared" si="42"/>
        <v>-984.8191723</v>
      </c>
      <c r="AO57" s="123">
        <f t="shared" si="42"/>
        <v>-993.0259988</v>
      </c>
      <c r="AP57" s="123">
        <f t="shared" si="42"/>
        <v>-1001.301215</v>
      </c>
      <c r="AQ57" s="123">
        <f t="shared" si="42"/>
        <v>-1009.645392</v>
      </c>
      <c r="AR57" s="123">
        <f t="shared" si="42"/>
        <v>-1018.059104</v>
      </c>
      <c r="AS57" s="123">
        <f t="shared" si="42"/>
        <v>-1026.54293</v>
      </c>
      <c r="AT57" s="123">
        <f t="shared" si="42"/>
        <v>-1035.097454</v>
      </c>
      <c r="AU57" s="123">
        <f t="shared" si="42"/>
        <v>-1041.998104</v>
      </c>
      <c r="AV57" s="123">
        <f t="shared" si="42"/>
        <v>-1048.944758</v>
      </c>
      <c r="AW57" s="123">
        <f t="shared" si="42"/>
        <v>-1055.937723</v>
      </c>
      <c r="AX57" s="123">
        <f t="shared" si="42"/>
        <v>-1062.977308</v>
      </c>
      <c r="AY57" s="123">
        <f t="shared" si="42"/>
        <v>-1070.063823</v>
      </c>
      <c r="AZ57" s="123">
        <f t="shared" si="42"/>
        <v>-1077.197582</v>
      </c>
      <c r="BA57" s="123">
        <f t="shared" si="42"/>
        <v>-1084.378899</v>
      </c>
      <c r="BB57" s="123">
        <f t="shared" si="42"/>
        <v>-1091.608092</v>
      </c>
      <c r="BC57" s="123">
        <f t="shared" si="42"/>
        <v>-1098.885479</v>
      </c>
      <c r="BD57" s="123">
        <f t="shared" si="42"/>
        <v>-1106.211382</v>
      </c>
      <c r="BE57" s="123">
        <f t="shared" si="42"/>
        <v>-1113.586125</v>
      </c>
      <c r="BF57" s="123">
        <f t="shared" si="42"/>
        <v>-1121.010032</v>
      </c>
      <c r="BG57" s="123">
        <f t="shared" si="42"/>
        <v>-1128.483433</v>
      </c>
      <c r="BH57" s="123">
        <f t="shared" si="42"/>
        <v>-1136.006655</v>
      </c>
      <c r="BI57" s="123">
        <f t="shared" si="42"/>
        <v>-1143.580033</v>
      </c>
      <c r="BJ57" s="123">
        <f t="shared" si="42"/>
        <v>-1151.2039</v>
      </c>
      <c r="BK57" s="123">
        <f t="shared" si="42"/>
        <v>-1158.878593</v>
      </c>
      <c r="BL57" s="123">
        <f t="shared" si="42"/>
        <v>-1166.60445</v>
      </c>
      <c r="BM57" s="123">
        <f t="shared" si="42"/>
        <v>-1174.381813</v>
      </c>
      <c r="BN57" s="123">
        <f t="shared" si="42"/>
        <v>-1182.211025</v>
      </c>
      <c r="BO57" s="123">
        <f t="shared" si="42"/>
        <v>-1190.092432</v>
      </c>
      <c r="BP57" s="123">
        <f t="shared" si="42"/>
        <v>-1198.026381</v>
      </c>
      <c r="BQ57" s="123">
        <f t="shared" si="42"/>
        <v>-1206.013224</v>
      </c>
      <c r="BR57" s="123">
        <f t="shared" si="42"/>
        <v>-1214.053312</v>
      </c>
      <c r="BS57" s="75"/>
    </row>
    <row r="58" ht="15.75" customHeight="1">
      <c r="A58" s="80"/>
      <c r="B58" s="298" t="str">
        <f>B57</f>
        <v>Marketing</v>
      </c>
      <c r="C58" s="131"/>
      <c r="D58" s="102"/>
      <c r="E58" s="132">
        <f t="shared" ref="E58:I58" si="43">SUMIFS($K58:$BR58,$K$2:$BR$2,E$1)</f>
        <v>-14480.13606</v>
      </c>
      <c r="F58" s="132">
        <f t="shared" si="43"/>
        <v>-20461.98091</v>
      </c>
      <c r="G58" s="132">
        <f t="shared" si="43"/>
        <v>-11871.83909</v>
      </c>
      <c r="H58" s="132">
        <f t="shared" si="43"/>
        <v>-12972.79931</v>
      </c>
      <c r="I58" s="132">
        <f t="shared" si="43"/>
        <v>-14049.53525</v>
      </c>
      <c r="J58" s="92"/>
      <c r="K58" s="132">
        <f t="shared" ref="K58:BR58" si="44">K57</f>
        <v>-658.7425</v>
      </c>
      <c r="L58" s="132">
        <f t="shared" si="44"/>
        <v>-829.5275926</v>
      </c>
      <c r="M58" s="132">
        <f t="shared" si="44"/>
        <v>-914.9201389</v>
      </c>
      <c r="N58" s="132">
        <f t="shared" si="44"/>
        <v>-1000.312685</v>
      </c>
      <c r="O58" s="132">
        <f t="shared" si="44"/>
        <v>-1085.705231</v>
      </c>
      <c r="P58" s="132">
        <f t="shared" si="44"/>
        <v>-1171.097778</v>
      </c>
      <c r="Q58" s="132">
        <f t="shared" si="44"/>
        <v>-1256.490324</v>
      </c>
      <c r="R58" s="132">
        <f t="shared" si="44"/>
        <v>-1341.88287</v>
      </c>
      <c r="S58" s="132">
        <f t="shared" si="44"/>
        <v>-1427.275417</v>
      </c>
      <c r="T58" s="132">
        <f t="shared" si="44"/>
        <v>-1512.667963</v>
      </c>
      <c r="U58" s="132">
        <f t="shared" si="44"/>
        <v>-1598.060509</v>
      </c>
      <c r="V58" s="132">
        <f t="shared" si="44"/>
        <v>-1683.453056</v>
      </c>
      <c r="W58" s="132">
        <f t="shared" si="44"/>
        <v>-1415.076481</v>
      </c>
      <c r="X58" s="132">
        <f t="shared" si="44"/>
        <v>-1483.390519</v>
      </c>
      <c r="Y58" s="132">
        <f t="shared" si="44"/>
        <v>-1551.704556</v>
      </c>
      <c r="Z58" s="132">
        <f t="shared" si="44"/>
        <v>-1620.018593</v>
      </c>
      <c r="AA58" s="132">
        <f t="shared" si="44"/>
        <v>-1688.33263</v>
      </c>
      <c r="AB58" s="132">
        <f t="shared" si="44"/>
        <v>-1756.646667</v>
      </c>
      <c r="AC58" s="132">
        <f t="shared" si="44"/>
        <v>-1775.677006</v>
      </c>
      <c r="AD58" s="132">
        <f t="shared" si="44"/>
        <v>-1794.913506</v>
      </c>
      <c r="AE58" s="132">
        <f t="shared" si="44"/>
        <v>-1814.358403</v>
      </c>
      <c r="AF58" s="132">
        <f t="shared" si="44"/>
        <v>-1834.013952</v>
      </c>
      <c r="AG58" s="132">
        <f t="shared" si="44"/>
        <v>-1853.882437</v>
      </c>
      <c r="AH58" s="132">
        <f t="shared" si="44"/>
        <v>-1873.966163</v>
      </c>
      <c r="AI58" s="132">
        <f t="shared" si="44"/>
        <v>-944.7912739</v>
      </c>
      <c r="AJ58" s="132">
        <f t="shared" si="44"/>
        <v>-952.6645345</v>
      </c>
      <c r="AK58" s="132">
        <f t="shared" si="44"/>
        <v>-960.6034056</v>
      </c>
      <c r="AL58" s="132">
        <f t="shared" si="44"/>
        <v>-968.608434</v>
      </c>
      <c r="AM58" s="132">
        <f t="shared" si="44"/>
        <v>-976.6801709</v>
      </c>
      <c r="AN58" s="132">
        <f t="shared" si="44"/>
        <v>-984.8191723</v>
      </c>
      <c r="AO58" s="132">
        <f t="shared" si="44"/>
        <v>-993.0259988</v>
      </c>
      <c r="AP58" s="132">
        <f t="shared" si="44"/>
        <v>-1001.301215</v>
      </c>
      <c r="AQ58" s="132">
        <f t="shared" si="44"/>
        <v>-1009.645392</v>
      </c>
      <c r="AR58" s="132">
        <f t="shared" si="44"/>
        <v>-1018.059104</v>
      </c>
      <c r="AS58" s="132">
        <f t="shared" si="44"/>
        <v>-1026.54293</v>
      </c>
      <c r="AT58" s="132">
        <f t="shared" si="44"/>
        <v>-1035.097454</v>
      </c>
      <c r="AU58" s="132">
        <f t="shared" si="44"/>
        <v>-1041.998104</v>
      </c>
      <c r="AV58" s="132">
        <f t="shared" si="44"/>
        <v>-1048.944758</v>
      </c>
      <c r="AW58" s="132">
        <f t="shared" si="44"/>
        <v>-1055.937723</v>
      </c>
      <c r="AX58" s="132">
        <f t="shared" si="44"/>
        <v>-1062.977308</v>
      </c>
      <c r="AY58" s="132">
        <f t="shared" si="44"/>
        <v>-1070.063823</v>
      </c>
      <c r="AZ58" s="132">
        <f t="shared" si="44"/>
        <v>-1077.197582</v>
      </c>
      <c r="BA58" s="132">
        <f t="shared" si="44"/>
        <v>-1084.378899</v>
      </c>
      <c r="BB58" s="132">
        <f t="shared" si="44"/>
        <v>-1091.608092</v>
      </c>
      <c r="BC58" s="132">
        <f t="shared" si="44"/>
        <v>-1098.885479</v>
      </c>
      <c r="BD58" s="132">
        <f t="shared" si="44"/>
        <v>-1106.211382</v>
      </c>
      <c r="BE58" s="132">
        <f t="shared" si="44"/>
        <v>-1113.586125</v>
      </c>
      <c r="BF58" s="132">
        <f t="shared" si="44"/>
        <v>-1121.010032</v>
      </c>
      <c r="BG58" s="132">
        <f t="shared" si="44"/>
        <v>-1128.483433</v>
      </c>
      <c r="BH58" s="132">
        <f t="shared" si="44"/>
        <v>-1136.006655</v>
      </c>
      <c r="BI58" s="132">
        <f t="shared" si="44"/>
        <v>-1143.580033</v>
      </c>
      <c r="BJ58" s="132">
        <f t="shared" si="44"/>
        <v>-1151.2039</v>
      </c>
      <c r="BK58" s="132">
        <f t="shared" si="44"/>
        <v>-1158.878593</v>
      </c>
      <c r="BL58" s="132">
        <f t="shared" si="44"/>
        <v>-1166.60445</v>
      </c>
      <c r="BM58" s="132">
        <f t="shared" si="44"/>
        <v>-1174.381813</v>
      </c>
      <c r="BN58" s="132">
        <f t="shared" si="44"/>
        <v>-1182.211025</v>
      </c>
      <c r="BO58" s="132">
        <f t="shared" si="44"/>
        <v>-1190.092432</v>
      </c>
      <c r="BP58" s="132">
        <f t="shared" si="44"/>
        <v>-1198.026381</v>
      </c>
      <c r="BQ58" s="132">
        <f t="shared" si="44"/>
        <v>-1206.013224</v>
      </c>
      <c r="BR58" s="132">
        <f t="shared" si="44"/>
        <v>-1214.053312</v>
      </c>
      <c r="BS58" s="75"/>
    </row>
    <row r="59" ht="7.5" customHeight="1">
      <c r="A59" s="80"/>
      <c r="B59" s="297"/>
      <c r="C59" s="81"/>
      <c r="D59" s="82"/>
      <c r="E59" s="82"/>
      <c r="F59" s="82"/>
      <c r="G59" s="82"/>
      <c r="H59" s="82"/>
      <c r="I59" s="82"/>
      <c r="J59" s="92"/>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86"/>
      <c r="BL59" s="286"/>
      <c r="BM59" s="286"/>
      <c r="BN59" s="286"/>
      <c r="BO59" s="286"/>
      <c r="BP59" s="286"/>
      <c r="BQ59" s="286"/>
      <c r="BR59" s="286"/>
      <c r="BS59" s="82"/>
    </row>
    <row r="60" ht="15.75" customHeight="1">
      <c r="A60" s="91"/>
      <c r="B60" s="295" t="s">
        <v>300</v>
      </c>
      <c r="C60" s="126"/>
      <c r="D60" s="284"/>
      <c r="E60" s="294">
        <f t="array" ref="E60">INDEX(Operating_Expenses,E$1)</f>
        <v>0.03</v>
      </c>
      <c r="F60" s="294">
        <f t="array" ref="F60">INDEX(Operating_Expenses,F$1)</f>
        <v>0.03</v>
      </c>
      <c r="G60" s="294">
        <f t="array" ref="G60">INDEX(Operating_Expenses,G$1)</f>
        <v>0.03</v>
      </c>
      <c r="H60" s="294">
        <f t="array" ref="H60">INDEX(Operating_Expenses,H$1)</f>
        <v>0.03</v>
      </c>
      <c r="I60" s="294">
        <f t="array" ref="I60">INDEX(Operating_Expenses,I$1)</f>
        <v>0.03</v>
      </c>
      <c r="J60" s="92"/>
      <c r="K60" s="294">
        <f t="array" ref="K60">INDEX(Operating_Expenses,K$2)</f>
        <v>0.03</v>
      </c>
      <c r="L60" s="294">
        <f t="array" ref="L60">INDEX(Operating_Expenses,L$2)</f>
        <v>0.03</v>
      </c>
      <c r="M60" s="294">
        <f t="array" ref="M60">INDEX(Operating_Expenses,M$2)</f>
        <v>0.03</v>
      </c>
      <c r="N60" s="294">
        <f t="array" ref="N60">INDEX(Operating_Expenses,N$2)</f>
        <v>0.03</v>
      </c>
      <c r="O60" s="294">
        <f t="array" ref="O60">INDEX(Operating_Expenses,O$2)</f>
        <v>0.03</v>
      </c>
      <c r="P60" s="294">
        <f t="array" ref="P60">INDEX(Operating_Expenses,P$2)</f>
        <v>0.03</v>
      </c>
      <c r="Q60" s="294">
        <f t="array" ref="Q60">INDEX(Operating_Expenses,Q$2)</f>
        <v>0.03</v>
      </c>
      <c r="R60" s="294">
        <f t="array" ref="R60">INDEX(Operating_Expenses,R$2)</f>
        <v>0.03</v>
      </c>
      <c r="S60" s="294">
        <f t="array" ref="S60">INDEX(Operating_Expenses,S$2)</f>
        <v>0.03</v>
      </c>
      <c r="T60" s="294">
        <f t="array" ref="T60">INDEX(Operating_Expenses,T$2)</f>
        <v>0.03</v>
      </c>
      <c r="U60" s="294">
        <f t="array" ref="U60">INDEX(Operating_Expenses,U$2)</f>
        <v>0.03</v>
      </c>
      <c r="V60" s="294">
        <f t="array" ref="V60">INDEX(Operating_Expenses,V$2)</f>
        <v>0.03</v>
      </c>
      <c r="W60" s="294">
        <f t="array" ref="W60">INDEX(Operating_Expenses,W$2)</f>
        <v>0.03</v>
      </c>
      <c r="X60" s="294">
        <f t="array" ref="X60">INDEX(Operating_Expenses,X$2)</f>
        <v>0.03</v>
      </c>
      <c r="Y60" s="294">
        <f t="array" ref="Y60">INDEX(Operating_Expenses,Y$2)</f>
        <v>0.03</v>
      </c>
      <c r="Z60" s="294">
        <f t="array" ref="Z60">INDEX(Operating_Expenses,Z$2)</f>
        <v>0.03</v>
      </c>
      <c r="AA60" s="294">
        <f t="array" ref="AA60">INDEX(Operating_Expenses,AA$2)</f>
        <v>0.03</v>
      </c>
      <c r="AB60" s="294">
        <f t="array" ref="AB60">INDEX(Operating_Expenses,AB$2)</f>
        <v>0.03</v>
      </c>
      <c r="AC60" s="294">
        <f t="array" ref="AC60">INDEX(Operating_Expenses,AC$2)</f>
        <v>0.03</v>
      </c>
      <c r="AD60" s="294">
        <f t="array" ref="AD60">INDEX(Operating_Expenses,AD$2)</f>
        <v>0.03</v>
      </c>
      <c r="AE60" s="294">
        <f t="array" ref="AE60">INDEX(Operating_Expenses,AE$2)</f>
        <v>0.03</v>
      </c>
      <c r="AF60" s="294">
        <f t="array" ref="AF60">INDEX(Operating_Expenses,AF$2)</f>
        <v>0.03</v>
      </c>
      <c r="AG60" s="294">
        <f t="array" ref="AG60">INDEX(Operating_Expenses,AG$2)</f>
        <v>0.03</v>
      </c>
      <c r="AH60" s="294">
        <f t="array" ref="AH60">INDEX(Operating_Expenses,AH$2)</f>
        <v>0.03</v>
      </c>
      <c r="AI60" s="294">
        <f t="array" ref="AI60">INDEX(Operating_Expenses,AI$2)</f>
        <v>0.03</v>
      </c>
      <c r="AJ60" s="294">
        <f t="array" ref="AJ60">INDEX(Operating_Expenses,AJ$2)</f>
        <v>0.03</v>
      </c>
      <c r="AK60" s="294">
        <f t="array" ref="AK60">INDEX(Operating_Expenses,AK$2)</f>
        <v>0.03</v>
      </c>
      <c r="AL60" s="294">
        <f t="array" ref="AL60">INDEX(Operating_Expenses,AL$2)</f>
        <v>0.03</v>
      </c>
      <c r="AM60" s="294">
        <f t="array" ref="AM60">INDEX(Operating_Expenses,AM$2)</f>
        <v>0.03</v>
      </c>
      <c r="AN60" s="294">
        <f t="array" ref="AN60">INDEX(Operating_Expenses,AN$2)</f>
        <v>0.03</v>
      </c>
      <c r="AO60" s="294">
        <f t="array" ref="AO60">INDEX(Operating_Expenses,AO$2)</f>
        <v>0.03</v>
      </c>
      <c r="AP60" s="294">
        <f t="array" ref="AP60">INDEX(Operating_Expenses,AP$2)</f>
        <v>0.03</v>
      </c>
      <c r="AQ60" s="294">
        <f t="array" ref="AQ60">INDEX(Operating_Expenses,AQ$2)</f>
        <v>0.03</v>
      </c>
      <c r="AR60" s="294">
        <f t="array" ref="AR60">INDEX(Operating_Expenses,AR$2)</f>
        <v>0.03</v>
      </c>
      <c r="AS60" s="294">
        <f t="array" ref="AS60">INDEX(Operating_Expenses,AS$2)</f>
        <v>0.03</v>
      </c>
      <c r="AT60" s="294">
        <f t="array" ref="AT60">INDEX(Operating_Expenses,AT$2)</f>
        <v>0.03</v>
      </c>
      <c r="AU60" s="294">
        <f t="array" ref="AU60">INDEX(Operating_Expenses,AU$2)</f>
        <v>0.03</v>
      </c>
      <c r="AV60" s="294">
        <f t="array" ref="AV60">INDEX(Operating_Expenses,AV$2)</f>
        <v>0.03</v>
      </c>
      <c r="AW60" s="294">
        <f t="array" ref="AW60">INDEX(Operating_Expenses,AW$2)</f>
        <v>0.03</v>
      </c>
      <c r="AX60" s="294">
        <f t="array" ref="AX60">INDEX(Operating_Expenses,AX$2)</f>
        <v>0.03</v>
      </c>
      <c r="AY60" s="294">
        <f t="array" ref="AY60">INDEX(Operating_Expenses,AY$2)</f>
        <v>0.03</v>
      </c>
      <c r="AZ60" s="294">
        <f t="array" ref="AZ60">INDEX(Operating_Expenses,AZ$2)</f>
        <v>0.03</v>
      </c>
      <c r="BA60" s="294">
        <f t="array" ref="BA60">INDEX(Operating_Expenses,BA$2)</f>
        <v>0.03</v>
      </c>
      <c r="BB60" s="294">
        <f t="array" ref="BB60">INDEX(Operating_Expenses,BB$2)</f>
        <v>0.03</v>
      </c>
      <c r="BC60" s="294">
        <f t="array" ref="BC60">INDEX(Operating_Expenses,BC$2)</f>
        <v>0.03</v>
      </c>
      <c r="BD60" s="294">
        <f t="array" ref="BD60">INDEX(Operating_Expenses,BD$2)</f>
        <v>0.03</v>
      </c>
      <c r="BE60" s="294">
        <f t="array" ref="BE60">INDEX(Operating_Expenses,BE$2)</f>
        <v>0.03</v>
      </c>
      <c r="BF60" s="294">
        <f t="array" ref="BF60">INDEX(Operating_Expenses,BF$2)</f>
        <v>0.03</v>
      </c>
      <c r="BG60" s="294">
        <f t="array" ref="BG60">INDEX(Operating_Expenses,BG$2)</f>
        <v>0.03</v>
      </c>
      <c r="BH60" s="294">
        <f t="array" ref="BH60">INDEX(Operating_Expenses,BH$2)</f>
        <v>0.03</v>
      </c>
      <c r="BI60" s="294">
        <f t="array" ref="BI60">INDEX(Operating_Expenses,BI$2)</f>
        <v>0.03</v>
      </c>
      <c r="BJ60" s="294">
        <f t="array" ref="BJ60">INDEX(Operating_Expenses,BJ$2)</f>
        <v>0.03</v>
      </c>
      <c r="BK60" s="294">
        <f t="array" ref="BK60">INDEX(Operating_Expenses,BK$2)</f>
        <v>0.03</v>
      </c>
      <c r="BL60" s="294">
        <f t="array" ref="BL60">INDEX(Operating_Expenses,BL$2)</f>
        <v>0.03</v>
      </c>
      <c r="BM60" s="294">
        <f t="array" ref="BM60">INDEX(Operating_Expenses,BM$2)</f>
        <v>0.03</v>
      </c>
      <c r="BN60" s="294">
        <f t="array" ref="BN60">INDEX(Operating_Expenses,BN$2)</f>
        <v>0.03</v>
      </c>
      <c r="BO60" s="294">
        <f t="array" ref="BO60">INDEX(Operating_Expenses,BO$2)</f>
        <v>0.03</v>
      </c>
      <c r="BP60" s="294">
        <f t="array" ref="BP60">INDEX(Operating_Expenses,BP$2)</f>
        <v>0.03</v>
      </c>
      <c r="BQ60" s="294">
        <f t="array" ref="BQ60">INDEX(Operating_Expenses,BQ$2)</f>
        <v>0.03</v>
      </c>
      <c r="BR60" s="294">
        <f t="array" ref="BR60">INDEX(Operating_Expenses,BR$2)</f>
        <v>0.03</v>
      </c>
      <c r="BS60" s="126"/>
    </row>
    <row r="61" ht="15.75" customHeight="1">
      <c r="A61" s="80"/>
      <c r="B61" s="297" t="s">
        <v>168</v>
      </c>
      <c r="C61" s="75"/>
      <c r="D61" s="82"/>
      <c r="E61" s="123">
        <f t="shared" ref="E61:I61" si="45">SUMIFS($K61:$BR61,$K$2:$BR$2,E$1)</f>
        <v>-8688.081639</v>
      </c>
      <c r="F61" s="123">
        <f t="shared" si="45"/>
        <v>-15346.48568</v>
      </c>
      <c r="G61" s="123">
        <f t="shared" si="45"/>
        <v>-17807.75863</v>
      </c>
      <c r="H61" s="123">
        <f t="shared" si="45"/>
        <v>-19459.19896</v>
      </c>
      <c r="I61" s="123">
        <f t="shared" si="45"/>
        <v>-21074.30288</v>
      </c>
      <c r="J61" s="92"/>
      <c r="K61" s="123">
        <f t="shared" ref="K61:BR61" si="46">-K$26*K60</f>
        <v>-395.2455</v>
      </c>
      <c r="L61" s="123">
        <f t="shared" si="46"/>
        <v>-497.7165556</v>
      </c>
      <c r="M61" s="123">
        <f t="shared" si="46"/>
        <v>-548.9520833</v>
      </c>
      <c r="N61" s="123">
        <f t="shared" si="46"/>
        <v>-600.1876111</v>
      </c>
      <c r="O61" s="123">
        <f t="shared" si="46"/>
        <v>-651.4231389</v>
      </c>
      <c r="P61" s="123">
        <f t="shared" si="46"/>
        <v>-702.6586667</v>
      </c>
      <c r="Q61" s="123">
        <f t="shared" si="46"/>
        <v>-753.8941944</v>
      </c>
      <c r="R61" s="123">
        <f t="shared" si="46"/>
        <v>-805.1297222</v>
      </c>
      <c r="S61" s="123">
        <f t="shared" si="46"/>
        <v>-856.36525</v>
      </c>
      <c r="T61" s="123">
        <f t="shared" si="46"/>
        <v>-907.6007778</v>
      </c>
      <c r="U61" s="123">
        <f t="shared" si="46"/>
        <v>-958.8363056</v>
      </c>
      <c r="V61" s="123">
        <f t="shared" si="46"/>
        <v>-1010.071833</v>
      </c>
      <c r="W61" s="123">
        <f t="shared" si="46"/>
        <v>-1061.307361</v>
      </c>
      <c r="X61" s="123">
        <f t="shared" si="46"/>
        <v>-1112.542889</v>
      </c>
      <c r="Y61" s="123">
        <f t="shared" si="46"/>
        <v>-1163.778417</v>
      </c>
      <c r="Z61" s="123">
        <f t="shared" si="46"/>
        <v>-1215.013944</v>
      </c>
      <c r="AA61" s="123">
        <f t="shared" si="46"/>
        <v>-1266.249472</v>
      </c>
      <c r="AB61" s="123">
        <f t="shared" si="46"/>
        <v>-1317.485</v>
      </c>
      <c r="AC61" s="123">
        <f t="shared" si="46"/>
        <v>-1331.757754</v>
      </c>
      <c r="AD61" s="123">
        <f t="shared" si="46"/>
        <v>-1346.18513</v>
      </c>
      <c r="AE61" s="123">
        <f t="shared" si="46"/>
        <v>-1360.768802</v>
      </c>
      <c r="AF61" s="123">
        <f t="shared" si="46"/>
        <v>-1375.510464</v>
      </c>
      <c r="AG61" s="123">
        <f t="shared" si="46"/>
        <v>-1390.411827</v>
      </c>
      <c r="AH61" s="123">
        <f t="shared" si="46"/>
        <v>-1405.474622</v>
      </c>
      <c r="AI61" s="123">
        <f t="shared" si="46"/>
        <v>-1417.186911</v>
      </c>
      <c r="AJ61" s="123">
        <f t="shared" si="46"/>
        <v>-1428.996802</v>
      </c>
      <c r="AK61" s="123">
        <f t="shared" si="46"/>
        <v>-1440.905108</v>
      </c>
      <c r="AL61" s="123">
        <f t="shared" si="46"/>
        <v>-1452.912651</v>
      </c>
      <c r="AM61" s="123">
        <f t="shared" si="46"/>
        <v>-1465.020256</v>
      </c>
      <c r="AN61" s="123">
        <f t="shared" si="46"/>
        <v>-1477.228759</v>
      </c>
      <c r="AO61" s="123">
        <f t="shared" si="46"/>
        <v>-1489.538998</v>
      </c>
      <c r="AP61" s="123">
        <f t="shared" si="46"/>
        <v>-1501.951823</v>
      </c>
      <c r="AQ61" s="123">
        <f t="shared" si="46"/>
        <v>-1514.468088</v>
      </c>
      <c r="AR61" s="123">
        <f t="shared" si="46"/>
        <v>-1527.088656</v>
      </c>
      <c r="AS61" s="123">
        <f t="shared" si="46"/>
        <v>-1539.814395</v>
      </c>
      <c r="AT61" s="123">
        <f t="shared" si="46"/>
        <v>-1552.646181</v>
      </c>
      <c r="AU61" s="123">
        <f t="shared" si="46"/>
        <v>-1562.997156</v>
      </c>
      <c r="AV61" s="123">
        <f t="shared" si="46"/>
        <v>-1573.417137</v>
      </c>
      <c r="AW61" s="123">
        <f t="shared" si="46"/>
        <v>-1583.906584</v>
      </c>
      <c r="AX61" s="123">
        <f t="shared" si="46"/>
        <v>-1594.465962</v>
      </c>
      <c r="AY61" s="123">
        <f t="shared" si="46"/>
        <v>-1605.095735</v>
      </c>
      <c r="AZ61" s="123">
        <f t="shared" si="46"/>
        <v>-1615.796373</v>
      </c>
      <c r="BA61" s="123">
        <f t="shared" si="46"/>
        <v>-1626.568349</v>
      </c>
      <c r="BB61" s="123">
        <f t="shared" si="46"/>
        <v>-1637.412138</v>
      </c>
      <c r="BC61" s="123">
        <f t="shared" si="46"/>
        <v>-1648.328219</v>
      </c>
      <c r="BD61" s="123">
        <f t="shared" si="46"/>
        <v>-1659.317073</v>
      </c>
      <c r="BE61" s="123">
        <f t="shared" si="46"/>
        <v>-1670.379187</v>
      </c>
      <c r="BF61" s="123">
        <f t="shared" si="46"/>
        <v>-1681.515048</v>
      </c>
      <c r="BG61" s="123">
        <f t="shared" si="46"/>
        <v>-1692.725149</v>
      </c>
      <c r="BH61" s="123">
        <f t="shared" si="46"/>
        <v>-1704.009983</v>
      </c>
      <c r="BI61" s="123">
        <f t="shared" si="46"/>
        <v>-1715.37005</v>
      </c>
      <c r="BJ61" s="123">
        <f t="shared" si="46"/>
        <v>-1726.80585</v>
      </c>
      <c r="BK61" s="123">
        <f t="shared" si="46"/>
        <v>-1738.317889</v>
      </c>
      <c r="BL61" s="123">
        <f t="shared" si="46"/>
        <v>-1749.906675</v>
      </c>
      <c r="BM61" s="123">
        <f t="shared" si="46"/>
        <v>-1761.572719</v>
      </c>
      <c r="BN61" s="123">
        <f t="shared" si="46"/>
        <v>-1773.316538</v>
      </c>
      <c r="BO61" s="123">
        <f t="shared" si="46"/>
        <v>-1785.138648</v>
      </c>
      <c r="BP61" s="123">
        <f t="shared" si="46"/>
        <v>-1797.039572</v>
      </c>
      <c r="BQ61" s="123">
        <f t="shared" si="46"/>
        <v>-1809.019836</v>
      </c>
      <c r="BR61" s="123">
        <f t="shared" si="46"/>
        <v>-1821.079968</v>
      </c>
      <c r="BS61" s="75"/>
    </row>
    <row r="62" ht="15.75" customHeight="1">
      <c r="A62" s="80"/>
      <c r="B62" s="298" t="str">
        <f>B61</f>
        <v>Other Operating Expenses</v>
      </c>
      <c r="C62" s="131"/>
      <c r="D62" s="102"/>
      <c r="E62" s="132">
        <f t="shared" ref="E62:I62" si="47">SUMIFS($K62:$BR62,$K$2:$BR$2,E$1)</f>
        <v>-8688.081639</v>
      </c>
      <c r="F62" s="132">
        <f t="shared" si="47"/>
        <v>-15346.48568</v>
      </c>
      <c r="G62" s="132">
        <f t="shared" si="47"/>
        <v>-17807.75863</v>
      </c>
      <c r="H62" s="132">
        <f t="shared" si="47"/>
        <v>-19459.19896</v>
      </c>
      <c r="I62" s="132">
        <f t="shared" si="47"/>
        <v>-21074.30288</v>
      </c>
      <c r="J62" s="92"/>
      <c r="K62" s="132">
        <f t="shared" ref="K62:BR62" si="48">K61</f>
        <v>-395.2455</v>
      </c>
      <c r="L62" s="132">
        <f t="shared" si="48"/>
        <v>-497.7165556</v>
      </c>
      <c r="M62" s="132">
        <f t="shared" si="48"/>
        <v>-548.9520833</v>
      </c>
      <c r="N62" s="132">
        <f t="shared" si="48"/>
        <v>-600.1876111</v>
      </c>
      <c r="O62" s="132">
        <f t="shared" si="48"/>
        <v>-651.4231389</v>
      </c>
      <c r="P62" s="132">
        <f t="shared" si="48"/>
        <v>-702.6586667</v>
      </c>
      <c r="Q62" s="132">
        <f t="shared" si="48"/>
        <v>-753.8941944</v>
      </c>
      <c r="R62" s="132">
        <f t="shared" si="48"/>
        <v>-805.1297222</v>
      </c>
      <c r="S62" s="132">
        <f t="shared" si="48"/>
        <v>-856.36525</v>
      </c>
      <c r="T62" s="132">
        <f t="shared" si="48"/>
        <v>-907.6007778</v>
      </c>
      <c r="U62" s="132">
        <f t="shared" si="48"/>
        <v>-958.8363056</v>
      </c>
      <c r="V62" s="132">
        <f t="shared" si="48"/>
        <v>-1010.071833</v>
      </c>
      <c r="W62" s="132">
        <f t="shared" si="48"/>
        <v>-1061.307361</v>
      </c>
      <c r="X62" s="132">
        <f t="shared" si="48"/>
        <v>-1112.542889</v>
      </c>
      <c r="Y62" s="132">
        <f t="shared" si="48"/>
        <v>-1163.778417</v>
      </c>
      <c r="Z62" s="132">
        <f t="shared" si="48"/>
        <v>-1215.013944</v>
      </c>
      <c r="AA62" s="132">
        <f t="shared" si="48"/>
        <v>-1266.249472</v>
      </c>
      <c r="AB62" s="132">
        <f t="shared" si="48"/>
        <v>-1317.485</v>
      </c>
      <c r="AC62" s="132">
        <f t="shared" si="48"/>
        <v>-1331.757754</v>
      </c>
      <c r="AD62" s="132">
        <f t="shared" si="48"/>
        <v>-1346.18513</v>
      </c>
      <c r="AE62" s="132">
        <f t="shared" si="48"/>
        <v>-1360.768802</v>
      </c>
      <c r="AF62" s="132">
        <f t="shared" si="48"/>
        <v>-1375.510464</v>
      </c>
      <c r="AG62" s="132">
        <f t="shared" si="48"/>
        <v>-1390.411827</v>
      </c>
      <c r="AH62" s="132">
        <f t="shared" si="48"/>
        <v>-1405.474622</v>
      </c>
      <c r="AI62" s="132">
        <f t="shared" si="48"/>
        <v>-1417.186911</v>
      </c>
      <c r="AJ62" s="132">
        <f t="shared" si="48"/>
        <v>-1428.996802</v>
      </c>
      <c r="AK62" s="132">
        <f t="shared" si="48"/>
        <v>-1440.905108</v>
      </c>
      <c r="AL62" s="132">
        <f t="shared" si="48"/>
        <v>-1452.912651</v>
      </c>
      <c r="AM62" s="132">
        <f t="shared" si="48"/>
        <v>-1465.020256</v>
      </c>
      <c r="AN62" s="132">
        <f t="shared" si="48"/>
        <v>-1477.228759</v>
      </c>
      <c r="AO62" s="132">
        <f t="shared" si="48"/>
        <v>-1489.538998</v>
      </c>
      <c r="AP62" s="132">
        <f t="shared" si="48"/>
        <v>-1501.951823</v>
      </c>
      <c r="AQ62" s="132">
        <f t="shared" si="48"/>
        <v>-1514.468088</v>
      </c>
      <c r="AR62" s="132">
        <f t="shared" si="48"/>
        <v>-1527.088656</v>
      </c>
      <c r="AS62" s="132">
        <f t="shared" si="48"/>
        <v>-1539.814395</v>
      </c>
      <c r="AT62" s="132">
        <f t="shared" si="48"/>
        <v>-1552.646181</v>
      </c>
      <c r="AU62" s="132">
        <f t="shared" si="48"/>
        <v>-1562.997156</v>
      </c>
      <c r="AV62" s="132">
        <f t="shared" si="48"/>
        <v>-1573.417137</v>
      </c>
      <c r="AW62" s="132">
        <f t="shared" si="48"/>
        <v>-1583.906584</v>
      </c>
      <c r="AX62" s="132">
        <f t="shared" si="48"/>
        <v>-1594.465962</v>
      </c>
      <c r="AY62" s="132">
        <f t="shared" si="48"/>
        <v>-1605.095735</v>
      </c>
      <c r="AZ62" s="132">
        <f t="shared" si="48"/>
        <v>-1615.796373</v>
      </c>
      <c r="BA62" s="132">
        <f t="shared" si="48"/>
        <v>-1626.568349</v>
      </c>
      <c r="BB62" s="132">
        <f t="shared" si="48"/>
        <v>-1637.412138</v>
      </c>
      <c r="BC62" s="132">
        <f t="shared" si="48"/>
        <v>-1648.328219</v>
      </c>
      <c r="BD62" s="132">
        <f t="shared" si="48"/>
        <v>-1659.317073</v>
      </c>
      <c r="BE62" s="132">
        <f t="shared" si="48"/>
        <v>-1670.379187</v>
      </c>
      <c r="BF62" s="132">
        <f t="shared" si="48"/>
        <v>-1681.515048</v>
      </c>
      <c r="BG62" s="132">
        <f t="shared" si="48"/>
        <v>-1692.725149</v>
      </c>
      <c r="BH62" s="132">
        <f t="shared" si="48"/>
        <v>-1704.009983</v>
      </c>
      <c r="BI62" s="132">
        <f t="shared" si="48"/>
        <v>-1715.37005</v>
      </c>
      <c r="BJ62" s="132">
        <f t="shared" si="48"/>
        <v>-1726.80585</v>
      </c>
      <c r="BK62" s="132">
        <f t="shared" si="48"/>
        <v>-1738.317889</v>
      </c>
      <c r="BL62" s="132">
        <f t="shared" si="48"/>
        <v>-1749.906675</v>
      </c>
      <c r="BM62" s="132">
        <f t="shared" si="48"/>
        <v>-1761.572719</v>
      </c>
      <c r="BN62" s="132">
        <f t="shared" si="48"/>
        <v>-1773.316538</v>
      </c>
      <c r="BO62" s="132">
        <f t="shared" si="48"/>
        <v>-1785.138648</v>
      </c>
      <c r="BP62" s="132">
        <f t="shared" si="48"/>
        <v>-1797.039572</v>
      </c>
      <c r="BQ62" s="132">
        <f t="shared" si="48"/>
        <v>-1809.019836</v>
      </c>
      <c r="BR62" s="132">
        <f t="shared" si="48"/>
        <v>-1821.079968</v>
      </c>
      <c r="BS62" s="75"/>
    </row>
    <row r="63" ht="7.5" customHeight="1">
      <c r="A63" s="80"/>
      <c r="B63" s="297"/>
      <c r="C63" s="81"/>
      <c r="D63" s="82"/>
      <c r="E63" s="82"/>
      <c r="F63" s="82"/>
      <c r="G63" s="82"/>
      <c r="H63" s="82"/>
      <c r="I63" s="82"/>
      <c r="J63" s="92"/>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82"/>
    </row>
    <row r="64" ht="15.75" customHeight="1">
      <c r="A64" s="80"/>
      <c r="B64" s="297" t="s">
        <v>301</v>
      </c>
      <c r="C64" s="75"/>
      <c r="D64" s="82"/>
      <c r="E64" s="123">
        <f t="shared" ref="E64:I64" si="49">SUMIFS($K64:$BR64,$K$2:$BR$2,E$1)</f>
        <v>-93675</v>
      </c>
      <c r="F64" s="123">
        <f t="shared" si="49"/>
        <v>0</v>
      </c>
      <c r="G64" s="123">
        <f t="shared" si="49"/>
        <v>0</v>
      </c>
      <c r="H64" s="123">
        <f t="shared" si="49"/>
        <v>0</v>
      </c>
      <c r="I64" s="123">
        <f t="shared" si="49"/>
        <v>0</v>
      </c>
      <c r="J64" s="92"/>
      <c r="K64" s="123">
        <f t="array" ref="K64">-IFERROR(INDEX(Other_Inv_Spending,K$2)/12,0)</f>
        <v>-7806.25</v>
      </c>
      <c r="L64" s="123">
        <f t="array" ref="L64">-IFERROR(INDEX(Other_Inv_Spending,L$2)/12,0)</f>
        <v>-7806.25</v>
      </c>
      <c r="M64" s="123">
        <f t="array" ref="M64">-IFERROR(INDEX(Other_Inv_Spending,M$2)/12,0)</f>
        <v>-7806.25</v>
      </c>
      <c r="N64" s="123">
        <f t="array" ref="N64">-IFERROR(INDEX(Other_Inv_Spending,N$2)/12,0)</f>
        <v>-7806.25</v>
      </c>
      <c r="O64" s="123">
        <f t="array" ref="O64">-IFERROR(INDEX(Other_Inv_Spending,O$2)/12,0)</f>
        <v>-7806.25</v>
      </c>
      <c r="P64" s="123">
        <f t="array" ref="P64">-IFERROR(INDEX(Other_Inv_Spending,P$2)/12,0)</f>
        <v>-7806.25</v>
      </c>
      <c r="Q64" s="123">
        <f t="array" ref="Q64">-IFERROR(INDEX(Other_Inv_Spending,Q$2)/12,0)</f>
        <v>-7806.25</v>
      </c>
      <c r="R64" s="123">
        <f t="array" ref="R64">-IFERROR(INDEX(Other_Inv_Spending,R$2)/12,0)</f>
        <v>-7806.25</v>
      </c>
      <c r="S64" s="123">
        <f t="array" ref="S64">-IFERROR(INDEX(Other_Inv_Spending,S$2)/12,0)</f>
        <v>-7806.25</v>
      </c>
      <c r="T64" s="123">
        <f t="array" ref="T64">-IFERROR(INDEX(Other_Inv_Spending,T$2)/12,0)</f>
        <v>-7806.25</v>
      </c>
      <c r="U64" s="123">
        <f t="array" ref="U64">-IFERROR(INDEX(Other_Inv_Spending,U$2)/12,0)</f>
        <v>-7806.25</v>
      </c>
      <c r="V64" s="123">
        <f t="array" ref="V64">-IFERROR(INDEX(Other_Inv_Spending,V$2)/12,0)</f>
        <v>-7806.25</v>
      </c>
      <c r="W64" s="123">
        <f t="array" ref="W64">-IFERROR(INDEX(Other_Inv_Spending,W$2)/12,0)</f>
        <v>0</v>
      </c>
      <c r="X64" s="123">
        <f t="array" ref="X64">-IFERROR(INDEX(Other_Inv_Spending,X$2)/12,0)</f>
        <v>0</v>
      </c>
      <c r="Y64" s="123">
        <f t="array" ref="Y64">-IFERROR(INDEX(Other_Inv_Spending,Y$2)/12,0)</f>
        <v>0</v>
      </c>
      <c r="Z64" s="123">
        <f t="array" ref="Z64">-IFERROR(INDEX(Other_Inv_Spending,Z$2)/12,0)</f>
        <v>0</v>
      </c>
      <c r="AA64" s="123">
        <f t="array" ref="AA64">-IFERROR(INDEX(Other_Inv_Spending,AA$2)/12,0)</f>
        <v>0</v>
      </c>
      <c r="AB64" s="123">
        <f t="array" ref="AB64">-IFERROR(INDEX(Other_Inv_Spending,AB$2)/12,0)</f>
        <v>0</v>
      </c>
      <c r="AC64" s="123">
        <f t="array" ref="AC64">-IFERROR(INDEX(Other_Inv_Spending,AC$2)/12,0)</f>
        <v>0</v>
      </c>
      <c r="AD64" s="123">
        <f t="array" ref="AD64">-IFERROR(INDEX(Other_Inv_Spending,AD$2)/12,0)</f>
        <v>0</v>
      </c>
      <c r="AE64" s="123">
        <f t="array" ref="AE64">-IFERROR(INDEX(Other_Inv_Spending,AE$2)/12,0)</f>
        <v>0</v>
      </c>
      <c r="AF64" s="123">
        <f t="array" ref="AF64">-IFERROR(INDEX(Other_Inv_Spending,AF$2)/12,0)</f>
        <v>0</v>
      </c>
      <c r="AG64" s="123">
        <f t="array" ref="AG64">-IFERROR(INDEX(Other_Inv_Spending,AG$2)/12,0)</f>
        <v>0</v>
      </c>
      <c r="AH64" s="123">
        <f t="array" ref="AH64">-IFERROR(INDEX(Other_Inv_Spending,AH$2)/12,0)</f>
        <v>0</v>
      </c>
      <c r="AI64" s="123">
        <f t="array" ref="AI64">-IFERROR(INDEX(Other_Inv_Spending,AI$2)/12,0)</f>
        <v>0</v>
      </c>
      <c r="AJ64" s="123">
        <f t="array" ref="AJ64">-IFERROR(INDEX(Other_Inv_Spending,AJ$2)/12,0)</f>
        <v>0</v>
      </c>
      <c r="AK64" s="123">
        <f t="array" ref="AK64">-IFERROR(INDEX(Other_Inv_Spending,AK$2)/12,0)</f>
        <v>0</v>
      </c>
      <c r="AL64" s="123">
        <f t="array" ref="AL64">-IFERROR(INDEX(Other_Inv_Spending,AL$2)/12,0)</f>
        <v>0</v>
      </c>
      <c r="AM64" s="123">
        <f t="array" ref="AM64">-IFERROR(INDEX(Other_Inv_Spending,AM$2)/12,0)</f>
        <v>0</v>
      </c>
      <c r="AN64" s="123">
        <f t="array" ref="AN64">-IFERROR(INDEX(Other_Inv_Spending,AN$2)/12,0)</f>
        <v>0</v>
      </c>
      <c r="AO64" s="123">
        <f t="array" ref="AO64">-IFERROR(INDEX(Other_Inv_Spending,AO$2)/12,0)</f>
        <v>0</v>
      </c>
      <c r="AP64" s="123">
        <f t="array" ref="AP64">-IFERROR(INDEX(Other_Inv_Spending,AP$2)/12,0)</f>
        <v>0</v>
      </c>
      <c r="AQ64" s="123">
        <f t="array" ref="AQ64">-IFERROR(INDEX(Other_Inv_Spending,AQ$2)/12,0)</f>
        <v>0</v>
      </c>
      <c r="AR64" s="123">
        <f t="array" ref="AR64">-IFERROR(INDEX(Other_Inv_Spending,AR$2)/12,0)</f>
        <v>0</v>
      </c>
      <c r="AS64" s="123">
        <f t="array" ref="AS64">-IFERROR(INDEX(Other_Inv_Spending,AS$2)/12,0)</f>
        <v>0</v>
      </c>
      <c r="AT64" s="123">
        <f t="array" ref="AT64">-IFERROR(INDEX(Other_Inv_Spending,AT$2)/12,0)</f>
        <v>0</v>
      </c>
      <c r="AU64" s="123">
        <f t="array" ref="AU64">-IFERROR(INDEX(Other_Inv_Spending,AU$2)/12,0)</f>
        <v>0</v>
      </c>
      <c r="AV64" s="123">
        <f t="array" ref="AV64">-IFERROR(INDEX(Other_Inv_Spending,AV$2)/12,0)</f>
        <v>0</v>
      </c>
      <c r="AW64" s="123">
        <f t="array" ref="AW64">-IFERROR(INDEX(Other_Inv_Spending,AW$2)/12,0)</f>
        <v>0</v>
      </c>
      <c r="AX64" s="123">
        <f t="array" ref="AX64">-IFERROR(INDEX(Other_Inv_Spending,AX$2)/12,0)</f>
        <v>0</v>
      </c>
      <c r="AY64" s="123">
        <f t="array" ref="AY64">-IFERROR(INDEX(Other_Inv_Spending,AY$2)/12,0)</f>
        <v>0</v>
      </c>
      <c r="AZ64" s="123">
        <f t="array" ref="AZ64">-IFERROR(INDEX(Other_Inv_Spending,AZ$2)/12,0)</f>
        <v>0</v>
      </c>
      <c r="BA64" s="123">
        <f t="array" ref="BA64">-IFERROR(INDEX(Other_Inv_Spending,BA$2)/12,0)</f>
        <v>0</v>
      </c>
      <c r="BB64" s="123">
        <f t="array" ref="BB64">-IFERROR(INDEX(Other_Inv_Spending,BB$2)/12,0)</f>
        <v>0</v>
      </c>
      <c r="BC64" s="123">
        <f t="array" ref="BC64">-IFERROR(INDEX(Other_Inv_Spending,BC$2)/12,0)</f>
        <v>0</v>
      </c>
      <c r="BD64" s="123">
        <f t="array" ref="BD64">-IFERROR(INDEX(Other_Inv_Spending,BD$2)/12,0)</f>
        <v>0</v>
      </c>
      <c r="BE64" s="123">
        <f t="array" ref="BE64">-IFERROR(INDEX(Other_Inv_Spending,BE$2)/12,0)</f>
        <v>0</v>
      </c>
      <c r="BF64" s="123">
        <f t="array" ref="BF64">-IFERROR(INDEX(Other_Inv_Spending,BF$2)/12,0)</f>
        <v>0</v>
      </c>
      <c r="BG64" s="123">
        <f t="array" ref="BG64">-IFERROR(INDEX(Other_Inv_Spending,BG$2)/12,0)</f>
        <v>0</v>
      </c>
      <c r="BH64" s="123">
        <f t="array" ref="BH64">-IFERROR(INDEX(Other_Inv_Spending,BH$2)/12,0)</f>
        <v>0</v>
      </c>
      <c r="BI64" s="123">
        <f t="array" ref="BI64">-IFERROR(INDEX(Other_Inv_Spending,BI$2)/12,0)</f>
        <v>0</v>
      </c>
      <c r="BJ64" s="123">
        <f t="array" ref="BJ64">-IFERROR(INDEX(Other_Inv_Spending,BJ$2)/12,0)</f>
        <v>0</v>
      </c>
      <c r="BK64" s="123">
        <f t="array" ref="BK64">-IFERROR(INDEX(Other_Inv_Spending,BK$2)/12,0)</f>
        <v>0</v>
      </c>
      <c r="BL64" s="123">
        <f t="array" ref="BL64">-IFERROR(INDEX(Other_Inv_Spending,BL$2)/12,0)</f>
        <v>0</v>
      </c>
      <c r="BM64" s="123">
        <f t="array" ref="BM64">-IFERROR(INDEX(Other_Inv_Spending,BM$2)/12,0)</f>
        <v>0</v>
      </c>
      <c r="BN64" s="123">
        <f t="array" ref="BN64">-IFERROR(INDEX(Other_Inv_Spending,BN$2)/12,0)</f>
        <v>0</v>
      </c>
      <c r="BO64" s="123">
        <f t="array" ref="BO64">-IFERROR(INDEX(Other_Inv_Spending,BO$2)/12,0)</f>
        <v>0</v>
      </c>
      <c r="BP64" s="123">
        <f t="array" ref="BP64">-IFERROR(INDEX(Other_Inv_Spending,BP$2)/12,0)</f>
        <v>0</v>
      </c>
      <c r="BQ64" s="123">
        <f t="array" ref="BQ64">-IFERROR(INDEX(Other_Inv_Spending,BQ$2)/12,0)</f>
        <v>0</v>
      </c>
      <c r="BR64" s="123">
        <f t="array" ref="BR64">-IFERROR(INDEX(Other_Inv_Spending,BR$2)/12,0)</f>
        <v>0</v>
      </c>
      <c r="BS64" s="75"/>
    </row>
    <row r="65" ht="15.75" customHeight="1">
      <c r="A65" s="80"/>
      <c r="B65" s="298" t="str">
        <f>B64</f>
        <v>Other Investment Spending</v>
      </c>
      <c r="C65" s="131"/>
      <c r="D65" s="102"/>
      <c r="E65" s="132">
        <f t="shared" ref="E65:I65" si="50">SUMIFS($K65:$BR65,$K$2:$BR$2,E$1)</f>
        <v>-93675</v>
      </c>
      <c r="F65" s="132">
        <f t="shared" si="50"/>
        <v>0</v>
      </c>
      <c r="G65" s="132">
        <f t="shared" si="50"/>
        <v>0</v>
      </c>
      <c r="H65" s="132">
        <f t="shared" si="50"/>
        <v>0</v>
      </c>
      <c r="I65" s="132">
        <f t="shared" si="50"/>
        <v>0</v>
      </c>
      <c r="J65" s="92"/>
      <c r="K65" s="132">
        <f t="shared" ref="K65:BR65" si="51">K64</f>
        <v>-7806.25</v>
      </c>
      <c r="L65" s="132">
        <f t="shared" si="51"/>
        <v>-7806.25</v>
      </c>
      <c r="M65" s="132">
        <f t="shared" si="51"/>
        <v>-7806.25</v>
      </c>
      <c r="N65" s="132">
        <f t="shared" si="51"/>
        <v>-7806.25</v>
      </c>
      <c r="O65" s="132">
        <f t="shared" si="51"/>
        <v>-7806.25</v>
      </c>
      <c r="P65" s="132">
        <f t="shared" si="51"/>
        <v>-7806.25</v>
      </c>
      <c r="Q65" s="132">
        <f t="shared" si="51"/>
        <v>-7806.25</v>
      </c>
      <c r="R65" s="132">
        <f t="shared" si="51"/>
        <v>-7806.25</v>
      </c>
      <c r="S65" s="132">
        <f t="shared" si="51"/>
        <v>-7806.25</v>
      </c>
      <c r="T65" s="132">
        <f t="shared" si="51"/>
        <v>-7806.25</v>
      </c>
      <c r="U65" s="132">
        <f t="shared" si="51"/>
        <v>-7806.25</v>
      </c>
      <c r="V65" s="132">
        <f t="shared" si="51"/>
        <v>-7806.25</v>
      </c>
      <c r="W65" s="132">
        <f t="shared" si="51"/>
        <v>0</v>
      </c>
      <c r="X65" s="132">
        <f t="shared" si="51"/>
        <v>0</v>
      </c>
      <c r="Y65" s="132">
        <f t="shared" si="51"/>
        <v>0</v>
      </c>
      <c r="Z65" s="132">
        <f t="shared" si="51"/>
        <v>0</v>
      </c>
      <c r="AA65" s="132">
        <f t="shared" si="51"/>
        <v>0</v>
      </c>
      <c r="AB65" s="132">
        <f t="shared" si="51"/>
        <v>0</v>
      </c>
      <c r="AC65" s="132">
        <f t="shared" si="51"/>
        <v>0</v>
      </c>
      <c r="AD65" s="132">
        <f t="shared" si="51"/>
        <v>0</v>
      </c>
      <c r="AE65" s="132">
        <f t="shared" si="51"/>
        <v>0</v>
      </c>
      <c r="AF65" s="132">
        <f t="shared" si="51"/>
        <v>0</v>
      </c>
      <c r="AG65" s="132">
        <f t="shared" si="51"/>
        <v>0</v>
      </c>
      <c r="AH65" s="132">
        <f t="shared" si="51"/>
        <v>0</v>
      </c>
      <c r="AI65" s="132">
        <f t="shared" si="51"/>
        <v>0</v>
      </c>
      <c r="AJ65" s="132">
        <f t="shared" si="51"/>
        <v>0</v>
      </c>
      <c r="AK65" s="132">
        <f t="shared" si="51"/>
        <v>0</v>
      </c>
      <c r="AL65" s="132">
        <f t="shared" si="51"/>
        <v>0</v>
      </c>
      <c r="AM65" s="132">
        <f t="shared" si="51"/>
        <v>0</v>
      </c>
      <c r="AN65" s="132">
        <f t="shared" si="51"/>
        <v>0</v>
      </c>
      <c r="AO65" s="132">
        <f t="shared" si="51"/>
        <v>0</v>
      </c>
      <c r="AP65" s="132">
        <f t="shared" si="51"/>
        <v>0</v>
      </c>
      <c r="AQ65" s="132">
        <f t="shared" si="51"/>
        <v>0</v>
      </c>
      <c r="AR65" s="132">
        <f t="shared" si="51"/>
        <v>0</v>
      </c>
      <c r="AS65" s="132">
        <f t="shared" si="51"/>
        <v>0</v>
      </c>
      <c r="AT65" s="132">
        <f t="shared" si="51"/>
        <v>0</v>
      </c>
      <c r="AU65" s="132">
        <f t="shared" si="51"/>
        <v>0</v>
      </c>
      <c r="AV65" s="132">
        <f t="shared" si="51"/>
        <v>0</v>
      </c>
      <c r="AW65" s="132">
        <f t="shared" si="51"/>
        <v>0</v>
      </c>
      <c r="AX65" s="132">
        <f t="shared" si="51"/>
        <v>0</v>
      </c>
      <c r="AY65" s="132">
        <f t="shared" si="51"/>
        <v>0</v>
      </c>
      <c r="AZ65" s="132">
        <f t="shared" si="51"/>
        <v>0</v>
      </c>
      <c r="BA65" s="132">
        <f t="shared" si="51"/>
        <v>0</v>
      </c>
      <c r="BB65" s="132">
        <f t="shared" si="51"/>
        <v>0</v>
      </c>
      <c r="BC65" s="132">
        <f t="shared" si="51"/>
        <v>0</v>
      </c>
      <c r="BD65" s="132">
        <f t="shared" si="51"/>
        <v>0</v>
      </c>
      <c r="BE65" s="132">
        <f t="shared" si="51"/>
        <v>0</v>
      </c>
      <c r="BF65" s="132">
        <f t="shared" si="51"/>
        <v>0</v>
      </c>
      <c r="BG65" s="132">
        <f t="shared" si="51"/>
        <v>0</v>
      </c>
      <c r="BH65" s="132">
        <f t="shared" si="51"/>
        <v>0</v>
      </c>
      <c r="BI65" s="132">
        <f t="shared" si="51"/>
        <v>0</v>
      </c>
      <c r="BJ65" s="132">
        <f t="shared" si="51"/>
        <v>0</v>
      </c>
      <c r="BK65" s="132">
        <f t="shared" si="51"/>
        <v>0</v>
      </c>
      <c r="BL65" s="132">
        <f t="shared" si="51"/>
        <v>0</v>
      </c>
      <c r="BM65" s="132">
        <f t="shared" si="51"/>
        <v>0</v>
      </c>
      <c r="BN65" s="132">
        <f t="shared" si="51"/>
        <v>0</v>
      </c>
      <c r="BO65" s="132">
        <f t="shared" si="51"/>
        <v>0</v>
      </c>
      <c r="BP65" s="132">
        <f t="shared" si="51"/>
        <v>0</v>
      </c>
      <c r="BQ65" s="132">
        <f t="shared" si="51"/>
        <v>0</v>
      </c>
      <c r="BR65" s="132">
        <f t="shared" si="51"/>
        <v>0</v>
      </c>
      <c r="BS65" s="75"/>
    </row>
    <row r="66" ht="7.5" customHeight="1">
      <c r="A66" s="80"/>
      <c r="B66" s="297"/>
      <c r="C66" s="81"/>
      <c r="D66" s="82"/>
      <c r="E66" s="82"/>
      <c r="F66" s="82"/>
      <c r="G66" s="82"/>
      <c r="H66" s="82"/>
      <c r="I66" s="82"/>
      <c r="J66" s="92"/>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c r="AJ66" s="286"/>
      <c r="AK66" s="286"/>
      <c r="AL66" s="286"/>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86"/>
      <c r="BL66" s="286"/>
      <c r="BM66" s="286"/>
      <c r="BN66" s="286"/>
      <c r="BO66" s="286"/>
      <c r="BP66" s="286"/>
      <c r="BQ66" s="286"/>
      <c r="BR66" s="286"/>
      <c r="BS66" s="82"/>
    </row>
    <row r="67" ht="15.75" customHeight="1">
      <c r="A67" s="80"/>
      <c r="B67" s="303" t="s">
        <v>302</v>
      </c>
      <c r="C67" s="288"/>
      <c r="D67" s="288"/>
      <c r="E67" s="304">
        <f t="shared" ref="E67:I67" si="52">SUMIFS($K67:$BR67,$K$2:$BR$2,E$1)</f>
        <v>-165531.2993</v>
      </c>
      <c r="F67" s="304">
        <f t="shared" si="52"/>
        <v>-186480.0645</v>
      </c>
      <c r="G67" s="304">
        <f t="shared" si="52"/>
        <v>-199144.2759</v>
      </c>
      <c r="H67" s="304">
        <f t="shared" si="52"/>
        <v>-214950.0308</v>
      </c>
      <c r="I67" s="304">
        <f t="shared" si="52"/>
        <v>-230474.2177</v>
      </c>
      <c r="J67" s="92"/>
      <c r="K67" s="304">
        <f t="shared" ref="K67:BR67" si="53">K$51+K$54+K$58+K$62+K65</f>
        <v>-12588.81683</v>
      </c>
      <c r="L67" s="304">
        <f t="shared" si="53"/>
        <v>-12964.54404</v>
      </c>
      <c r="M67" s="304">
        <f t="shared" si="53"/>
        <v>-13152.40764</v>
      </c>
      <c r="N67" s="304">
        <f t="shared" si="53"/>
        <v>-13340.27124</v>
      </c>
      <c r="O67" s="304">
        <f t="shared" si="53"/>
        <v>-13528.13484</v>
      </c>
      <c r="P67" s="304">
        <f t="shared" si="53"/>
        <v>-13715.99844</v>
      </c>
      <c r="Q67" s="304">
        <f t="shared" si="53"/>
        <v>-13903.86205</v>
      </c>
      <c r="R67" s="304">
        <f t="shared" si="53"/>
        <v>-14091.72565</v>
      </c>
      <c r="S67" s="304">
        <f t="shared" si="53"/>
        <v>-14279.58925</v>
      </c>
      <c r="T67" s="304">
        <f t="shared" si="53"/>
        <v>-14467.45285</v>
      </c>
      <c r="U67" s="304">
        <f t="shared" si="53"/>
        <v>-14655.31645</v>
      </c>
      <c r="V67" s="304">
        <f t="shared" si="53"/>
        <v>-14843.18006</v>
      </c>
      <c r="W67" s="304">
        <f t="shared" si="53"/>
        <v>-14814.78389</v>
      </c>
      <c r="X67" s="304">
        <f t="shared" si="53"/>
        <v>-14985.56898</v>
      </c>
      <c r="Y67" s="304">
        <f t="shared" si="53"/>
        <v>-15156.35407</v>
      </c>
      <c r="Z67" s="304">
        <f t="shared" si="53"/>
        <v>-15327.13916</v>
      </c>
      <c r="AA67" s="304">
        <f t="shared" si="53"/>
        <v>-15497.92426</v>
      </c>
      <c r="AB67" s="304">
        <f t="shared" si="53"/>
        <v>-15668.70935</v>
      </c>
      <c r="AC67" s="304">
        <f t="shared" si="53"/>
        <v>-15716.2852</v>
      </c>
      <c r="AD67" s="304">
        <f t="shared" si="53"/>
        <v>-15764.37645</v>
      </c>
      <c r="AE67" s="304">
        <f t="shared" si="53"/>
        <v>-15812.98869</v>
      </c>
      <c r="AF67" s="304">
        <f t="shared" si="53"/>
        <v>-15862.12756</v>
      </c>
      <c r="AG67" s="304">
        <f t="shared" si="53"/>
        <v>-15911.79877</v>
      </c>
      <c r="AH67" s="304">
        <f t="shared" si="53"/>
        <v>-15962.00809</v>
      </c>
      <c r="AI67" s="304">
        <f t="shared" si="53"/>
        <v>-16417.24173</v>
      </c>
      <c r="AJ67" s="304">
        <f t="shared" si="53"/>
        <v>-16448.73477</v>
      </c>
      <c r="AK67" s="304">
        <f t="shared" si="53"/>
        <v>-16480.49025</v>
      </c>
      <c r="AL67" s="304">
        <f t="shared" si="53"/>
        <v>-16512.51037</v>
      </c>
      <c r="AM67" s="304">
        <f t="shared" si="53"/>
        <v>-16544.79732</v>
      </c>
      <c r="AN67" s="304">
        <f t="shared" si="53"/>
        <v>-16577.35332</v>
      </c>
      <c r="AO67" s="304">
        <f t="shared" si="53"/>
        <v>-16610.18063</v>
      </c>
      <c r="AP67" s="304">
        <f t="shared" si="53"/>
        <v>-16643.28149</v>
      </c>
      <c r="AQ67" s="304">
        <f t="shared" si="53"/>
        <v>-16676.6582</v>
      </c>
      <c r="AR67" s="304">
        <f t="shared" si="53"/>
        <v>-16710.31305</v>
      </c>
      <c r="AS67" s="304">
        <f t="shared" si="53"/>
        <v>-16744.24835</v>
      </c>
      <c r="AT67" s="304">
        <f t="shared" si="53"/>
        <v>-16778.46645</v>
      </c>
      <c r="AU67" s="304">
        <f t="shared" si="53"/>
        <v>-17756.22855</v>
      </c>
      <c r="AV67" s="304">
        <f t="shared" si="53"/>
        <v>-17784.01517</v>
      </c>
      <c r="AW67" s="304">
        <f t="shared" si="53"/>
        <v>-17811.98703</v>
      </c>
      <c r="AX67" s="304">
        <f t="shared" si="53"/>
        <v>-17840.14537</v>
      </c>
      <c r="AY67" s="304">
        <f t="shared" si="53"/>
        <v>-17868.49143</v>
      </c>
      <c r="AZ67" s="304">
        <f t="shared" si="53"/>
        <v>-17897.02646</v>
      </c>
      <c r="BA67" s="304">
        <f t="shared" si="53"/>
        <v>-17925.75173</v>
      </c>
      <c r="BB67" s="304">
        <f t="shared" si="53"/>
        <v>-17954.6685</v>
      </c>
      <c r="BC67" s="304">
        <f t="shared" si="53"/>
        <v>-17983.77805</v>
      </c>
      <c r="BD67" s="304">
        <f t="shared" si="53"/>
        <v>-18013.08166</v>
      </c>
      <c r="BE67" s="304">
        <f t="shared" si="53"/>
        <v>-18042.58063</v>
      </c>
      <c r="BF67" s="304">
        <f t="shared" si="53"/>
        <v>-18072.27626</v>
      </c>
      <c r="BG67" s="304">
        <f t="shared" si="53"/>
        <v>-19036.94012</v>
      </c>
      <c r="BH67" s="304">
        <f t="shared" si="53"/>
        <v>-19067.03301</v>
      </c>
      <c r="BI67" s="304">
        <f t="shared" si="53"/>
        <v>-19097.32652</v>
      </c>
      <c r="BJ67" s="304">
        <f t="shared" si="53"/>
        <v>-19127.82199</v>
      </c>
      <c r="BK67" s="304">
        <f t="shared" si="53"/>
        <v>-19158.52076</v>
      </c>
      <c r="BL67" s="304">
        <f t="shared" si="53"/>
        <v>-19189.42419</v>
      </c>
      <c r="BM67" s="304">
        <f t="shared" si="53"/>
        <v>-19220.53364</v>
      </c>
      <c r="BN67" s="304">
        <f t="shared" si="53"/>
        <v>-19251.85049</v>
      </c>
      <c r="BO67" s="304">
        <f t="shared" si="53"/>
        <v>-19283.37612</v>
      </c>
      <c r="BP67" s="304">
        <f t="shared" si="53"/>
        <v>-19315.11192</v>
      </c>
      <c r="BQ67" s="304">
        <f t="shared" si="53"/>
        <v>-19347.05929</v>
      </c>
      <c r="BR67" s="304">
        <f t="shared" si="53"/>
        <v>-19379.21964</v>
      </c>
      <c r="BS67" s="282"/>
    </row>
    <row r="68" ht="15.75" customHeight="1">
      <c r="A68" s="91"/>
      <c r="B68" s="305" t="s">
        <v>303</v>
      </c>
      <c r="C68" s="306"/>
      <c r="D68" s="306"/>
      <c r="E68" s="307">
        <f t="shared" ref="E68:I68" si="54">IFERROR(E67/E$26,0)</f>
        <v>-0.5715806074</v>
      </c>
      <c r="F68" s="307">
        <f t="shared" si="54"/>
        <v>-0.3645396118</v>
      </c>
      <c r="G68" s="307">
        <f t="shared" si="54"/>
        <v>-0.3354901873</v>
      </c>
      <c r="H68" s="307">
        <f t="shared" si="54"/>
        <v>-0.3313857337</v>
      </c>
      <c r="I68" s="307">
        <f t="shared" si="54"/>
        <v>-0.3280880308</v>
      </c>
      <c r="J68" s="92"/>
      <c r="K68" s="307">
        <f t="shared" ref="K68:BR68" si="55">IFERROR(K67/K$26,0)</f>
        <v>-0.9555187978</v>
      </c>
      <c r="L68" s="307">
        <f t="shared" si="55"/>
        <v>-0.7814413983</v>
      </c>
      <c r="M68" s="307">
        <f t="shared" si="55"/>
        <v>-0.7187735344</v>
      </c>
      <c r="N68" s="307">
        <f t="shared" si="55"/>
        <v>-0.666805062</v>
      </c>
      <c r="O68" s="307">
        <f t="shared" si="55"/>
        <v>-0.6230114054</v>
      </c>
      <c r="P68" s="307">
        <f t="shared" si="55"/>
        <v>-0.5856043238</v>
      </c>
      <c r="Q68" s="307">
        <f t="shared" si="55"/>
        <v>-0.5532816998</v>
      </c>
      <c r="R68" s="307">
        <f t="shared" si="55"/>
        <v>-0.5250728644</v>
      </c>
      <c r="S68" s="307">
        <f t="shared" si="55"/>
        <v>-0.5002394451</v>
      </c>
      <c r="T68" s="307">
        <f t="shared" si="55"/>
        <v>-0.478209799</v>
      </c>
      <c r="U68" s="307">
        <f t="shared" si="55"/>
        <v>-0.4585344663</v>
      </c>
      <c r="V68" s="307">
        <f t="shared" si="55"/>
        <v>-0.4408551818</v>
      </c>
      <c r="W68" s="307">
        <f t="shared" si="55"/>
        <v>-0.4187698426</v>
      </c>
      <c r="X68" s="307">
        <f t="shared" si="55"/>
        <v>-0.4040896525</v>
      </c>
      <c r="Y68" s="307">
        <f t="shared" si="55"/>
        <v>-0.3907020577</v>
      </c>
      <c r="Z68" s="307">
        <f t="shared" si="55"/>
        <v>-0.3784435372</v>
      </c>
      <c r="AA68" s="307">
        <f t="shared" si="55"/>
        <v>-0.3671770357</v>
      </c>
      <c r="AB68" s="307">
        <f t="shared" si="55"/>
        <v>-0.3567868177</v>
      </c>
      <c r="AC68" s="307">
        <f t="shared" si="55"/>
        <v>-0.3540347743</v>
      </c>
      <c r="AD68" s="307">
        <f t="shared" si="55"/>
        <v>-0.3513122252</v>
      </c>
      <c r="AE68" s="307">
        <f t="shared" si="55"/>
        <v>-0.3486188543</v>
      </c>
      <c r="AF68" s="307">
        <f t="shared" si="55"/>
        <v>-0.3459543488</v>
      </c>
      <c r="AG68" s="307">
        <f t="shared" si="55"/>
        <v>-0.3433183995</v>
      </c>
      <c r="AH68" s="307">
        <f t="shared" si="55"/>
        <v>-0.3407107002</v>
      </c>
      <c r="AI68" s="307">
        <f t="shared" si="55"/>
        <v>-0.3475316122</v>
      </c>
      <c r="AJ68" s="307">
        <f t="shared" si="55"/>
        <v>-0.3453206071</v>
      </c>
      <c r="AK68" s="307">
        <f t="shared" si="55"/>
        <v>-0.3431278748</v>
      </c>
      <c r="AL68" s="307">
        <f t="shared" si="55"/>
        <v>-0.3409532643</v>
      </c>
      <c r="AM68" s="307">
        <f t="shared" si="55"/>
        <v>-0.3387966257</v>
      </c>
      <c r="AN68" s="307">
        <f t="shared" si="55"/>
        <v>-0.3366578106</v>
      </c>
      <c r="AO68" s="307">
        <f t="shared" si="55"/>
        <v>-0.3345366717</v>
      </c>
      <c r="AP68" s="307">
        <f t="shared" si="55"/>
        <v>-0.3324330628</v>
      </c>
      <c r="AQ68" s="307">
        <f t="shared" si="55"/>
        <v>-0.3303468392</v>
      </c>
      <c r="AR68" s="307">
        <f t="shared" si="55"/>
        <v>-0.328277857</v>
      </c>
      <c r="AS68" s="307">
        <f t="shared" si="55"/>
        <v>-0.3262259739</v>
      </c>
      <c r="AT68" s="307">
        <f t="shared" si="55"/>
        <v>-0.3241910485</v>
      </c>
      <c r="AU68" s="307">
        <f t="shared" si="55"/>
        <v>-0.340811149</v>
      </c>
      <c r="AV68" s="307">
        <f t="shared" si="55"/>
        <v>-0.3390839228</v>
      </c>
      <c r="AW68" s="307">
        <f t="shared" si="55"/>
        <v>-0.3373681353</v>
      </c>
      <c r="AX68" s="307">
        <f t="shared" si="55"/>
        <v>-0.3356637105</v>
      </c>
      <c r="AY68" s="307">
        <f t="shared" si="55"/>
        <v>-0.3339705734</v>
      </c>
      <c r="AZ68" s="307">
        <f t="shared" si="55"/>
        <v>-0.3322886491</v>
      </c>
      <c r="BA68" s="307">
        <f t="shared" si="55"/>
        <v>-0.3306178633</v>
      </c>
      <c r="BB68" s="307">
        <f t="shared" si="55"/>
        <v>-0.3289581423</v>
      </c>
      <c r="BC68" s="307">
        <f t="shared" si="55"/>
        <v>-0.3273094129</v>
      </c>
      <c r="BD68" s="307">
        <f t="shared" si="55"/>
        <v>-0.3256716022</v>
      </c>
      <c r="BE68" s="307">
        <f t="shared" si="55"/>
        <v>-0.324044638</v>
      </c>
      <c r="BF68" s="307">
        <f t="shared" si="55"/>
        <v>-0.3224284483</v>
      </c>
      <c r="BG68" s="307">
        <f t="shared" si="55"/>
        <v>-0.3373898025</v>
      </c>
      <c r="BH68" s="307">
        <f t="shared" si="55"/>
        <v>-0.3356852343</v>
      </c>
      <c r="BI68" s="307">
        <f t="shared" si="55"/>
        <v>-0.3339919546</v>
      </c>
      <c r="BJ68" s="307">
        <f t="shared" si="55"/>
        <v>-0.3323098887</v>
      </c>
      <c r="BK68" s="307">
        <f t="shared" si="55"/>
        <v>-0.3306389623</v>
      </c>
      <c r="BL68" s="307">
        <f t="shared" si="55"/>
        <v>-0.3289791016</v>
      </c>
      <c r="BM68" s="307">
        <f t="shared" si="55"/>
        <v>-0.3273302334</v>
      </c>
      <c r="BN68" s="307">
        <f t="shared" si="55"/>
        <v>-0.3256922848</v>
      </c>
      <c r="BO68" s="307">
        <f t="shared" si="55"/>
        <v>-0.3240651836</v>
      </c>
      <c r="BP68" s="307">
        <f t="shared" si="55"/>
        <v>-0.3224488579</v>
      </c>
      <c r="BQ68" s="307">
        <f t="shared" si="55"/>
        <v>-0.3208432363</v>
      </c>
      <c r="BR68" s="307">
        <f t="shared" si="55"/>
        <v>-0.319248248</v>
      </c>
      <c r="BS68" s="308"/>
    </row>
    <row r="69" ht="15.75" customHeight="1">
      <c r="A69" s="80"/>
      <c r="B69" s="75"/>
      <c r="C69" s="75"/>
      <c r="D69" s="75"/>
      <c r="E69" s="301"/>
      <c r="F69" s="75"/>
      <c r="G69" s="75"/>
      <c r="H69" s="75"/>
      <c r="I69" s="75"/>
      <c r="J69" s="92"/>
      <c r="K69" s="299"/>
      <c r="L69" s="299"/>
      <c r="M69" s="299"/>
      <c r="N69" s="299"/>
      <c r="O69" s="299"/>
      <c r="P69" s="299"/>
      <c r="Q69" s="299"/>
      <c r="R69" s="299"/>
      <c r="S69" s="299"/>
      <c r="T69" s="299"/>
      <c r="U69" s="299"/>
      <c r="V69" s="299"/>
      <c r="W69" s="299"/>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row>
    <row r="70" ht="15.75" customHeight="1">
      <c r="A70" s="80"/>
      <c r="B70" s="98" t="s">
        <v>304</v>
      </c>
      <c r="C70" s="98"/>
      <c r="D70" s="99"/>
      <c r="E70" s="300">
        <f t="shared" ref="E70:I70" si="56">SUMIFS($K70:$BR70,$K$2:$BR$2,E$1)</f>
        <v>-32314.04755</v>
      </c>
      <c r="F70" s="300">
        <f t="shared" si="56"/>
        <v>48832.71601</v>
      </c>
      <c r="G70" s="300">
        <f t="shared" si="56"/>
        <v>73908.02304</v>
      </c>
      <c r="H70" s="300">
        <f t="shared" si="56"/>
        <v>83424.3532</v>
      </c>
      <c r="I70" s="300">
        <f t="shared" si="56"/>
        <v>92665.09306</v>
      </c>
      <c r="J70" s="92"/>
      <c r="K70" s="300">
        <f t="shared" ref="K70:BR70" si="57">K$44+K$67</f>
        <v>-6528.385833</v>
      </c>
      <c r="L70" s="300">
        <f t="shared" si="57"/>
        <v>-5332.890185</v>
      </c>
      <c r="M70" s="300">
        <f t="shared" si="57"/>
        <v>-4735.142361</v>
      </c>
      <c r="N70" s="300">
        <f t="shared" si="57"/>
        <v>-4137.394537</v>
      </c>
      <c r="O70" s="300">
        <f t="shared" si="57"/>
        <v>-3539.646713</v>
      </c>
      <c r="P70" s="300">
        <f t="shared" si="57"/>
        <v>-2941.898889</v>
      </c>
      <c r="Q70" s="300">
        <f t="shared" si="57"/>
        <v>-2344.151065</v>
      </c>
      <c r="R70" s="300">
        <f t="shared" si="57"/>
        <v>-1746.403241</v>
      </c>
      <c r="S70" s="300">
        <f t="shared" si="57"/>
        <v>-1148.655417</v>
      </c>
      <c r="T70" s="300">
        <f t="shared" si="57"/>
        <v>-550.9075926</v>
      </c>
      <c r="U70" s="300">
        <f t="shared" si="57"/>
        <v>46.84023148</v>
      </c>
      <c r="V70" s="300">
        <f t="shared" si="57"/>
        <v>644.5880556</v>
      </c>
      <c r="W70" s="300">
        <f t="shared" si="57"/>
        <v>1458.595651</v>
      </c>
      <c r="X70" s="300">
        <f t="shared" si="57"/>
        <v>2073.421984</v>
      </c>
      <c r="Y70" s="300">
        <f t="shared" si="57"/>
        <v>2688.248317</v>
      </c>
      <c r="Z70" s="300">
        <f t="shared" si="57"/>
        <v>3303.074651</v>
      </c>
      <c r="AA70" s="300">
        <f t="shared" si="57"/>
        <v>3917.900984</v>
      </c>
      <c r="AB70" s="300">
        <f t="shared" si="57"/>
        <v>4532.727317</v>
      </c>
      <c r="AC70" s="300">
        <f t="shared" si="57"/>
        <v>4704.000367</v>
      </c>
      <c r="AD70" s="300">
        <f t="shared" si="57"/>
        <v>4877.128876</v>
      </c>
      <c r="AE70" s="300">
        <f t="shared" si="57"/>
        <v>5052.132942</v>
      </c>
      <c r="AF70" s="300">
        <f t="shared" si="57"/>
        <v>5229.032887</v>
      </c>
      <c r="AG70" s="300">
        <f t="shared" si="57"/>
        <v>5407.849247</v>
      </c>
      <c r="AH70" s="300">
        <f t="shared" si="57"/>
        <v>5588.602785</v>
      </c>
      <c r="AI70" s="300">
        <f t="shared" si="57"/>
        <v>5312.957571</v>
      </c>
      <c r="AJ70" s="300">
        <f t="shared" si="57"/>
        <v>5462.549523</v>
      </c>
      <c r="AK70" s="300">
        <f t="shared" si="57"/>
        <v>5613.388074</v>
      </c>
      <c r="AL70" s="300">
        <f t="shared" si="57"/>
        <v>5765.483613</v>
      </c>
      <c r="AM70" s="300">
        <f t="shared" si="57"/>
        <v>5918.846615</v>
      </c>
      <c r="AN70" s="300">
        <f t="shared" si="57"/>
        <v>6073.487642</v>
      </c>
      <c r="AO70" s="300">
        <f t="shared" si="57"/>
        <v>6229.417345</v>
      </c>
      <c r="AP70" s="300">
        <f t="shared" si="57"/>
        <v>6386.646461</v>
      </c>
      <c r="AQ70" s="300">
        <f t="shared" si="57"/>
        <v>6545.18582</v>
      </c>
      <c r="AR70" s="300">
        <f t="shared" si="57"/>
        <v>6705.046341</v>
      </c>
      <c r="AS70" s="300">
        <f t="shared" si="57"/>
        <v>6866.239032</v>
      </c>
      <c r="AT70" s="300">
        <f t="shared" si="57"/>
        <v>7028.774996</v>
      </c>
      <c r="AU70" s="300">
        <f t="shared" si="57"/>
        <v>6209.727837</v>
      </c>
      <c r="AV70" s="300">
        <f t="shared" si="57"/>
        <v>6341.714264</v>
      </c>
      <c r="AW70" s="300">
        <f t="shared" si="57"/>
        <v>6474.5806</v>
      </c>
      <c r="AX70" s="300">
        <f t="shared" si="57"/>
        <v>6608.332711</v>
      </c>
      <c r="AY70" s="300">
        <f t="shared" si="57"/>
        <v>6742.976504</v>
      </c>
      <c r="AZ70" s="300">
        <f t="shared" si="57"/>
        <v>6878.517921</v>
      </c>
      <c r="BA70" s="300">
        <f t="shared" si="57"/>
        <v>7014.962948</v>
      </c>
      <c r="BB70" s="300">
        <f t="shared" si="57"/>
        <v>7152.317609</v>
      </c>
      <c r="BC70" s="300">
        <f t="shared" si="57"/>
        <v>7290.587967</v>
      </c>
      <c r="BD70" s="300">
        <f t="shared" si="57"/>
        <v>7429.780128</v>
      </c>
      <c r="BE70" s="300">
        <f t="shared" si="57"/>
        <v>7569.900236</v>
      </c>
      <c r="BF70" s="300">
        <f t="shared" si="57"/>
        <v>7710.954479</v>
      </c>
      <c r="BG70" s="300">
        <f t="shared" si="57"/>
        <v>6918.178825</v>
      </c>
      <c r="BH70" s="300">
        <f t="shared" si="57"/>
        <v>7061.12006</v>
      </c>
      <c r="BI70" s="300">
        <f t="shared" si="57"/>
        <v>7205.014237</v>
      </c>
      <c r="BJ70" s="300">
        <f t="shared" si="57"/>
        <v>7349.867707</v>
      </c>
      <c r="BK70" s="300">
        <f t="shared" si="57"/>
        <v>7495.686868</v>
      </c>
      <c r="BL70" s="300">
        <f t="shared" si="57"/>
        <v>7642.478157</v>
      </c>
      <c r="BM70" s="300">
        <f t="shared" si="57"/>
        <v>7790.248053</v>
      </c>
      <c r="BN70" s="300">
        <f t="shared" si="57"/>
        <v>7939.003083</v>
      </c>
      <c r="BO70" s="300">
        <f t="shared" si="57"/>
        <v>8088.749813</v>
      </c>
      <c r="BP70" s="300">
        <f t="shared" si="57"/>
        <v>8239.494854</v>
      </c>
      <c r="BQ70" s="300">
        <f t="shared" si="57"/>
        <v>8391.244863</v>
      </c>
      <c r="BR70" s="300">
        <f t="shared" si="57"/>
        <v>8544.006538</v>
      </c>
      <c r="BS70" s="75"/>
    </row>
    <row r="71" ht="15.75" customHeight="1">
      <c r="A71" s="91"/>
      <c r="B71" s="126" t="s">
        <v>305</v>
      </c>
      <c r="C71" s="126"/>
      <c r="D71" s="284"/>
      <c r="E71" s="294">
        <f t="shared" ref="E71:I71" si="58">IFERROR(E70/E$26,0)</f>
        <v>-0.1115806074</v>
      </c>
      <c r="F71" s="294">
        <f t="shared" si="58"/>
        <v>0.09546038816</v>
      </c>
      <c r="G71" s="294">
        <f t="shared" si="58"/>
        <v>0.1245098127</v>
      </c>
      <c r="H71" s="294">
        <f t="shared" si="58"/>
        <v>0.1286142663</v>
      </c>
      <c r="I71" s="294">
        <f t="shared" si="58"/>
        <v>0.1319119692</v>
      </c>
      <c r="J71" s="92"/>
      <c r="K71" s="294">
        <f t="shared" ref="K71:BR71" si="59">IFERROR(K70/K$26,0)</f>
        <v>-0.4955187978</v>
      </c>
      <c r="L71" s="294">
        <f t="shared" si="59"/>
        <v>-0.3214413983</v>
      </c>
      <c r="M71" s="294">
        <f t="shared" si="59"/>
        <v>-0.2587735344</v>
      </c>
      <c r="N71" s="294">
        <f t="shared" si="59"/>
        <v>-0.206805062</v>
      </c>
      <c r="O71" s="294">
        <f t="shared" si="59"/>
        <v>-0.1630114054</v>
      </c>
      <c r="P71" s="294">
        <f t="shared" si="59"/>
        <v>-0.1256043238</v>
      </c>
      <c r="Q71" s="294">
        <f t="shared" si="59"/>
        <v>-0.09328169982</v>
      </c>
      <c r="R71" s="294">
        <f t="shared" si="59"/>
        <v>-0.06507286438</v>
      </c>
      <c r="S71" s="294">
        <f t="shared" si="59"/>
        <v>-0.04023944514</v>
      </c>
      <c r="T71" s="294">
        <f t="shared" si="59"/>
        <v>-0.01820979905</v>
      </c>
      <c r="U71" s="294">
        <f t="shared" si="59"/>
        <v>0.001465533727</v>
      </c>
      <c r="V71" s="294">
        <f t="shared" si="59"/>
        <v>0.01914481825</v>
      </c>
      <c r="W71" s="294">
        <f t="shared" si="59"/>
        <v>0.04123015738</v>
      </c>
      <c r="X71" s="294">
        <f t="shared" si="59"/>
        <v>0.0559103475</v>
      </c>
      <c r="Y71" s="294">
        <f t="shared" si="59"/>
        <v>0.06929794226</v>
      </c>
      <c r="Z71" s="294">
        <f t="shared" si="59"/>
        <v>0.08155646277</v>
      </c>
      <c r="AA71" s="294">
        <f t="shared" si="59"/>
        <v>0.09282296428</v>
      </c>
      <c r="AB71" s="294">
        <f t="shared" si="59"/>
        <v>0.1032131823</v>
      </c>
      <c r="AC71" s="294">
        <f t="shared" si="59"/>
        <v>0.1059652257</v>
      </c>
      <c r="AD71" s="294">
        <f t="shared" si="59"/>
        <v>0.1086877748</v>
      </c>
      <c r="AE71" s="294">
        <f t="shared" si="59"/>
        <v>0.1113811457</v>
      </c>
      <c r="AF71" s="294">
        <f t="shared" si="59"/>
        <v>0.1140456512</v>
      </c>
      <c r="AG71" s="294">
        <f t="shared" si="59"/>
        <v>0.1166816005</v>
      </c>
      <c r="AH71" s="294">
        <f t="shared" si="59"/>
        <v>0.1192892998</v>
      </c>
      <c r="AI71" s="294">
        <f t="shared" si="59"/>
        <v>0.1124683878</v>
      </c>
      <c r="AJ71" s="294">
        <f t="shared" si="59"/>
        <v>0.1146793929</v>
      </c>
      <c r="AK71" s="294">
        <f t="shared" si="59"/>
        <v>0.1168721252</v>
      </c>
      <c r="AL71" s="294">
        <f t="shared" si="59"/>
        <v>0.1190467357</v>
      </c>
      <c r="AM71" s="294">
        <f t="shared" si="59"/>
        <v>0.1212033743</v>
      </c>
      <c r="AN71" s="294">
        <f t="shared" si="59"/>
        <v>0.1233421894</v>
      </c>
      <c r="AO71" s="294">
        <f t="shared" si="59"/>
        <v>0.1254633283</v>
      </c>
      <c r="AP71" s="294">
        <f t="shared" si="59"/>
        <v>0.1275669372</v>
      </c>
      <c r="AQ71" s="294">
        <f t="shared" si="59"/>
        <v>0.1296531608</v>
      </c>
      <c r="AR71" s="294">
        <f t="shared" si="59"/>
        <v>0.131722143</v>
      </c>
      <c r="AS71" s="294">
        <f t="shared" si="59"/>
        <v>0.1337740261</v>
      </c>
      <c r="AT71" s="294">
        <f t="shared" si="59"/>
        <v>0.1358089515</v>
      </c>
      <c r="AU71" s="294">
        <f t="shared" si="59"/>
        <v>0.119188851</v>
      </c>
      <c r="AV71" s="294">
        <f t="shared" si="59"/>
        <v>0.1209160772</v>
      </c>
      <c r="AW71" s="294">
        <f t="shared" si="59"/>
        <v>0.1226318647</v>
      </c>
      <c r="AX71" s="294">
        <f t="shared" si="59"/>
        <v>0.1243362895</v>
      </c>
      <c r="AY71" s="294">
        <f t="shared" si="59"/>
        <v>0.1260294266</v>
      </c>
      <c r="AZ71" s="294">
        <f t="shared" si="59"/>
        <v>0.1277113509</v>
      </c>
      <c r="BA71" s="294">
        <f t="shared" si="59"/>
        <v>0.1293821367</v>
      </c>
      <c r="BB71" s="294">
        <f t="shared" si="59"/>
        <v>0.1310418577</v>
      </c>
      <c r="BC71" s="294">
        <f t="shared" si="59"/>
        <v>0.1326905871</v>
      </c>
      <c r="BD71" s="294">
        <f t="shared" si="59"/>
        <v>0.1343283978</v>
      </c>
      <c r="BE71" s="294">
        <f t="shared" si="59"/>
        <v>0.135955362</v>
      </c>
      <c r="BF71" s="294">
        <f t="shared" si="59"/>
        <v>0.1375715517</v>
      </c>
      <c r="BG71" s="294">
        <f t="shared" si="59"/>
        <v>0.1226101975</v>
      </c>
      <c r="BH71" s="294">
        <f t="shared" si="59"/>
        <v>0.1243147657</v>
      </c>
      <c r="BI71" s="294">
        <f t="shared" si="59"/>
        <v>0.1260080454</v>
      </c>
      <c r="BJ71" s="294">
        <f t="shared" si="59"/>
        <v>0.1276901113</v>
      </c>
      <c r="BK71" s="294">
        <f t="shared" si="59"/>
        <v>0.1293610377</v>
      </c>
      <c r="BL71" s="294">
        <f t="shared" si="59"/>
        <v>0.1310208984</v>
      </c>
      <c r="BM71" s="294">
        <f t="shared" si="59"/>
        <v>0.1326697666</v>
      </c>
      <c r="BN71" s="294">
        <f t="shared" si="59"/>
        <v>0.1343077152</v>
      </c>
      <c r="BO71" s="294">
        <f t="shared" si="59"/>
        <v>0.1359348164</v>
      </c>
      <c r="BP71" s="294">
        <f t="shared" si="59"/>
        <v>0.1375511421</v>
      </c>
      <c r="BQ71" s="294">
        <f t="shared" si="59"/>
        <v>0.1391567637</v>
      </c>
      <c r="BR71" s="294">
        <f t="shared" si="59"/>
        <v>0.140751752</v>
      </c>
      <c r="BS71" s="126"/>
    </row>
    <row r="72" ht="15.75" customHeight="1">
      <c r="A72" s="80"/>
      <c r="B72" s="92"/>
      <c r="C72" s="75"/>
      <c r="D72" s="82"/>
      <c r="E72" s="75"/>
      <c r="F72" s="75"/>
      <c r="G72" s="75"/>
      <c r="H72" s="75"/>
      <c r="I72" s="75"/>
      <c r="J72" s="92"/>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c r="BS72" s="75"/>
    </row>
    <row r="73" ht="15.75" customHeight="1">
      <c r="A73" s="80"/>
      <c r="B73" s="298" t="s">
        <v>306</v>
      </c>
      <c r="C73" s="131"/>
      <c r="D73" s="102"/>
      <c r="E73" s="132">
        <f t="shared" ref="E73:I73" si="60">SUMIFS($K73:$BR73,$K$2:$BR$2,E$1)</f>
        <v>-44456.25</v>
      </c>
      <c r="F73" s="132">
        <f t="shared" si="60"/>
        <v>-44456.25</v>
      </c>
      <c r="G73" s="132">
        <f t="shared" si="60"/>
        <v>-44456.25</v>
      </c>
      <c r="H73" s="132">
        <f t="shared" si="60"/>
        <v>-44456.25</v>
      </c>
      <c r="I73" s="132">
        <f t="shared" si="60"/>
        <v>0</v>
      </c>
      <c r="J73" s="92"/>
      <c r="K73" s="132">
        <f t="shared" ref="K73:BR73" si="61">K$241</f>
        <v>-3704.6875</v>
      </c>
      <c r="L73" s="132">
        <f t="shared" si="61"/>
        <v>-3704.6875</v>
      </c>
      <c r="M73" s="132">
        <f t="shared" si="61"/>
        <v>-3704.6875</v>
      </c>
      <c r="N73" s="132">
        <f t="shared" si="61"/>
        <v>-3704.6875</v>
      </c>
      <c r="O73" s="132">
        <f t="shared" si="61"/>
        <v>-3704.6875</v>
      </c>
      <c r="P73" s="132">
        <f t="shared" si="61"/>
        <v>-3704.6875</v>
      </c>
      <c r="Q73" s="132">
        <f t="shared" si="61"/>
        <v>-3704.6875</v>
      </c>
      <c r="R73" s="132">
        <f t="shared" si="61"/>
        <v>-3704.6875</v>
      </c>
      <c r="S73" s="132">
        <f t="shared" si="61"/>
        <v>-3704.6875</v>
      </c>
      <c r="T73" s="132">
        <f t="shared" si="61"/>
        <v>-3704.6875</v>
      </c>
      <c r="U73" s="132">
        <f t="shared" si="61"/>
        <v>-3704.6875</v>
      </c>
      <c r="V73" s="132">
        <f t="shared" si="61"/>
        <v>-3704.6875</v>
      </c>
      <c r="W73" s="132">
        <f t="shared" si="61"/>
        <v>-3704.6875</v>
      </c>
      <c r="X73" s="132">
        <f t="shared" si="61"/>
        <v>-3704.6875</v>
      </c>
      <c r="Y73" s="132">
        <f t="shared" si="61"/>
        <v>-3704.6875</v>
      </c>
      <c r="Z73" s="132">
        <f t="shared" si="61"/>
        <v>-3704.6875</v>
      </c>
      <c r="AA73" s="132">
        <f t="shared" si="61"/>
        <v>-3704.6875</v>
      </c>
      <c r="AB73" s="132">
        <f t="shared" si="61"/>
        <v>-3704.6875</v>
      </c>
      <c r="AC73" s="132">
        <f t="shared" si="61"/>
        <v>-3704.6875</v>
      </c>
      <c r="AD73" s="132">
        <f t="shared" si="61"/>
        <v>-3704.6875</v>
      </c>
      <c r="AE73" s="132">
        <f t="shared" si="61"/>
        <v>-3704.6875</v>
      </c>
      <c r="AF73" s="132">
        <f t="shared" si="61"/>
        <v>-3704.6875</v>
      </c>
      <c r="AG73" s="132">
        <f t="shared" si="61"/>
        <v>-3704.6875</v>
      </c>
      <c r="AH73" s="132">
        <f t="shared" si="61"/>
        <v>-3704.6875</v>
      </c>
      <c r="AI73" s="132">
        <f t="shared" si="61"/>
        <v>-3704.6875</v>
      </c>
      <c r="AJ73" s="132">
        <f t="shared" si="61"/>
        <v>-3704.6875</v>
      </c>
      <c r="AK73" s="132">
        <f t="shared" si="61"/>
        <v>-3704.6875</v>
      </c>
      <c r="AL73" s="132">
        <f t="shared" si="61"/>
        <v>-3704.6875</v>
      </c>
      <c r="AM73" s="132">
        <f t="shared" si="61"/>
        <v>-3704.6875</v>
      </c>
      <c r="AN73" s="132">
        <f t="shared" si="61"/>
        <v>-3704.6875</v>
      </c>
      <c r="AO73" s="132">
        <f t="shared" si="61"/>
        <v>-3704.6875</v>
      </c>
      <c r="AP73" s="132">
        <f t="shared" si="61"/>
        <v>-3704.6875</v>
      </c>
      <c r="AQ73" s="132">
        <f t="shared" si="61"/>
        <v>-3704.6875</v>
      </c>
      <c r="AR73" s="132">
        <f t="shared" si="61"/>
        <v>-3704.6875</v>
      </c>
      <c r="AS73" s="132">
        <f t="shared" si="61"/>
        <v>-3704.6875</v>
      </c>
      <c r="AT73" s="132">
        <f t="shared" si="61"/>
        <v>-3704.6875</v>
      </c>
      <c r="AU73" s="132">
        <f t="shared" si="61"/>
        <v>-3704.6875</v>
      </c>
      <c r="AV73" s="132">
        <f t="shared" si="61"/>
        <v>-3704.6875</v>
      </c>
      <c r="AW73" s="132">
        <f t="shared" si="61"/>
        <v>-3704.6875</v>
      </c>
      <c r="AX73" s="132">
        <f t="shared" si="61"/>
        <v>-3704.6875</v>
      </c>
      <c r="AY73" s="132">
        <f t="shared" si="61"/>
        <v>-3704.6875</v>
      </c>
      <c r="AZ73" s="132">
        <f t="shared" si="61"/>
        <v>-3704.6875</v>
      </c>
      <c r="BA73" s="132">
        <f t="shared" si="61"/>
        <v>-3704.6875</v>
      </c>
      <c r="BB73" s="132">
        <f t="shared" si="61"/>
        <v>-3704.6875</v>
      </c>
      <c r="BC73" s="132">
        <f t="shared" si="61"/>
        <v>-3704.6875</v>
      </c>
      <c r="BD73" s="132">
        <f t="shared" si="61"/>
        <v>-3704.6875</v>
      </c>
      <c r="BE73" s="132">
        <f t="shared" si="61"/>
        <v>-3704.6875</v>
      </c>
      <c r="BF73" s="132">
        <f t="shared" si="61"/>
        <v>-3704.6875</v>
      </c>
      <c r="BG73" s="132">
        <f t="shared" si="61"/>
        <v>0</v>
      </c>
      <c r="BH73" s="132">
        <f t="shared" si="61"/>
        <v>0</v>
      </c>
      <c r="BI73" s="132">
        <f t="shared" si="61"/>
        <v>0</v>
      </c>
      <c r="BJ73" s="132">
        <f t="shared" si="61"/>
        <v>0</v>
      </c>
      <c r="BK73" s="132">
        <f t="shared" si="61"/>
        <v>0</v>
      </c>
      <c r="BL73" s="132">
        <f t="shared" si="61"/>
        <v>0</v>
      </c>
      <c r="BM73" s="132">
        <f t="shared" si="61"/>
        <v>0</v>
      </c>
      <c r="BN73" s="132">
        <f t="shared" si="61"/>
        <v>0</v>
      </c>
      <c r="BO73" s="132">
        <f t="shared" si="61"/>
        <v>0</v>
      </c>
      <c r="BP73" s="132">
        <f t="shared" si="61"/>
        <v>0</v>
      </c>
      <c r="BQ73" s="132">
        <f t="shared" si="61"/>
        <v>0</v>
      </c>
      <c r="BR73" s="132">
        <f t="shared" si="61"/>
        <v>0</v>
      </c>
      <c r="BS73" s="75"/>
    </row>
    <row r="74" ht="7.5" customHeight="1">
      <c r="A74" s="80"/>
      <c r="B74" s="75"/>
      <c r="C74" s="81"/>
      <c r="D74" s="82"/>
      <c r="E74" s="82"/>
      <c r="F74" s="82"/>
      <c r="G74" s="82"/>
      <c r="H74" s="82"/>
      <c r="I74" s="82"/>
      <c r="J74" s="92"/>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86"/>
      <c r="BL74" s="286"/>
      <c r="BM74" s="286"/>
      <c r="BN74" s="286"/>
      <c r="BO74" s="286"/>
      <c r="BP74" s="286"/>
      <c r="BQ74" s="286"/>
      <c r="BR74" s="286"/>
      <c r="BS74" s="82"/>
    </row>
    <row r="75" ht="15.75" customHeight="1">
      <c r="A75" s="80"/>
      <c r="B75" s="75"/>
      <c r="C75" s="75"/>
      <c r="D75" s="75"/>
      <c r="E75" s="75"/>
      <c r="F75" s="75"/>
      <c r="G75" s="75"/>
      <c r="H75" s="75"/>
      <c r="I75" s="75"/>
      <c r="J75" s="92"/>
      <c r="K75" s="299"/>
      <c r="L75" s="299"/>
      <c r="M75" s="299"/>
      <c r="N75" s="299"/>
      <c r="O75" s="299"/>
      <c r="P75" s="299"/>
      <c r="Q75" s="299"/>
      <c r="R75" s="299"/>
      <c r="S75" s="299"/>
      <c r="T75" s="299"/>
      <c r="U75" s="299"/>
      <c r="V75" s="299"/>
      <c r="W75" s="299"/>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row>
    <row r="76" ht="15.75" customHeight="1">
      <c r="A76" s="80"/>
      <c r="B76" s="298" t="s">
        <v>307</v>
      </c>
      <c r="C76" s="131"/>
      <c r="D76" s="102"/>
      <c r="E76" s="132">
        <f t="shared" ref="E76:I76" si="62">SUMIFS($K76:$BR76,$K$2:$BR$2,E$1)</f>
        <v>-24089.625</v>
      </c>
      <c r="F76" s="132">
        <f t="shared" si="62"/>
        <v>-21994.875</v>
      </c>
      <c r="G76" s="132">
        <f t="shared" si="62"/>
        <v>-19900.125</v>
      </c>
      <c r="H76" s="132">
        <f t="shared" si="62"/>
        <v>-17805.375</v>
      </c>
      <c r="I76" s="132">
        <f t="shared" si="62"/>
        <v>-15710.625</v>
      </c>
      <c r="J76" s="92"/>
      <c r="K76" s="132">
        <f t="shared" ref="K76:BR76" si="63">K196+K203+K210</f>
        <v>-2087.476563</v>
      </c>
      <c r="L76" s="132">
        <f t="shared" si="63"/>
        <v>-2072.929688</v>
      </c>
      <c r="M76" s="132">
        <f t="shared" si="63"/>
        <v>-2058.382813</v>
      </c>
      <c r="N76" s="132">
        <f t="shared" si="63"/>
        <v>-2043.835938</v>
      </c>
      <c r="O76" s="132">
        <f t="shared" si="63"/>
        <v>-2029.289063</v>
      </c>
      <c r="P76" s="132">
        <f t="shared" si="63"/>
        <v>-2014.742188</v>
      </c>
      <c r="Q76" s="132">
        <f t="shared" si="63"/>
        <v>-2000.195313</v>
      </c>
      <c r="R76" s="132">
        <f t="shared" si="63"/>
        <v>-1985.648438</v>
      </c>
      <c r="S76" s="132">
        <f t="shared" si="63"/>
        <v>-1971.101563</v>
      </c>
      <c r="T76" s="132">
        <f t="shared" si="63"/>
        <v>-1956.554688</v>
      </c>
      <c r="U76" s="132">
        <f t="shared" si="63"/>
        <v>-1942.007813</v>
      </c>
      <c r="V76" s="132">
        <f t="shared" si="63"/>
        <v>-1927.460938</v>
      </c>
      <c r="W76" s="132">
        <f t="shared" si="63"/>
        <v>-1912.914063</v>
      </c>
      <c r="X76" s="132">
        <f t="shared" si="63"/>
        <v>-1898.367188</v>
      </c>
      <c r="Y76" s="132">
        <f t="shared" si="63"/>
        <v>-1883.820313</v>
      </c>
      <c r="Z76" s="132">
        <f t="shared" si="63"/>
        <v>-1869.273438</v>
      </c>
      <c r="AA76" s="132">
        <f t="shared" si="63"/>
        <v>-1854.726563</v>
      </c>
      <c r="AB76" s="132">
        <f t="shared" si="63"/>
        <v>-1840.179688</v>
      </c>
      <c r="AC76" s="132">
        <f t="shared" si="63"/>
        <v>-1825.632813</v>
      </c>
      <c r="AD76" s="132">
        <f t="shared" si="63"/>
        <v>-1811.085938</v>
      </c>
      <c r="AE76" s="132">
        <f t="shared" si="63"/>
        <v>-1796.539063</v>
      </c>
      <c r="AF76" s="132">
        <f t="shared" si="63"/>
        <v>-1781.992188</v>
      </c>
      <c r="AG76" s="132">
        <f t="shared" si="63"/>
        <v>-1767.445313</v>
      </c>
      <c r="AH76" s="132">
        <f t="shared" si="63"/>
        <v>-1752.898438</v>
      </c>
      <c r="AI76" s="132">
        <f t="shared" si="63"/>
        <v>-1738.351563</v>
      </c>
      <c r="AJ76" s="132">
        <f t="shared" si="63"/>
        <v>-1723.804688</v>
      </c>
      <c r="AK76" s="132">
        <f t="shared" si="63"/>
        <v>-1709.257813</v>
      </c>
      <c r="AL76" s="132">
        <f t="shared" si="63"/>
        <v>-1694.710938</v>
      </c>
      <c r="AM76" s="132">
        <f t="shared" si="63"/>
        <v>-1680.164063</v>
      </c>
      <c r="AN76" s="132">
        <f t="shared" si="63"/>
        <v>-1665.617188</v>
      </c>
      <c r="AO76" s="132">
        <f t="shared" si="63"/>
        <v>-1651.070313</v>
      </c>
      <c r="AP76" s="132">
        <f t="shared" si="63"/>
        <v>-1636.523438</v>
      </c>
      <c r="AQ76" s="132">
        <f t="shared" si="63"/>
        <v>-1621.976563</v>
      </c>
      <c r="AR76" s="132">
        <f t="shared" si="63"/>
        <v>-1607.429688</v>
      </c>
      <c r="AS76" s="132">
        <f t="shared" si="63"/>
        <v>-1592.882813</v>
      </c>
      <c r="AT76" s="132">
        <f t="shared" si="63"/>
        <v>-1578.335938</v>
      </c>
      <c r="AU76" s="132">
        <f t="shared" si="63"/>
        <v>-1563.789063</v>
      </c>
      <c r="AV76" s="132">
        <f t="shared" si="63"/>
        <v>-1549.242188</v>
      </c>
      <c r="AW76" s="132">
        <f t="shared" si="63"/>
        <v>-1534.695313</v>
      </c>
      <c r="AX76" s="132">
        <f t="shared" si="63"/>
        <v>-1520.148438</v>
      </c>
      <c r="AY76" s="132">
        <f t="shared" si="63"/>
        <v>-1505.601563</v>
      </c>
      <c r="AZ76" s="132">
        <f t="shared" si="63"/>
        <v>-1491.054688</v>
      </c>
      <c r="BA76" s="132">
        <f t="shared" si="63"/>
        <v>-1476.507813</v>
      </c>
      <c r="BB76" s="132">
        <f t="shared" si="63"/>
        <v>-1461.960938</v>
      </c>
      <c r="BC76" s="132">
        <f t="shared" si="63"/>
        <v>-1447.414063</v>
      </c>
      <c r="BD76" s="132">
        <f t="shared" si="63"/>
        <v>-1432.867188</v>
      </c>
      <c r="BE76" s="132">
        <f t="shared" si="63"/>
        <v>-1418.320313</v>
      </c>
      <c r="BF76" s="132">
        <f t="shared" si="63"/>
        <v>-1403.773438</v>
      </c>
      <c r="BG76" s="132">
        <f t="shared" si="63"/>
        <v>-1389.226563</v>
      </c>
      <c r="BH76" s="132">
        <f t="shared" si="63"/>
        <v>-1374.679688</v>
      </c>
      <c r="BI76" s="132">
        <f t="shared" si="63"/>
        <v>-1360.132813</v>
      </c>
      <c r="BJ76" s="132">
        <f t="shared" si="63"/>
        <v>-1345.585938</v>
      </c>
      <c r="BK76" s="132">
        <f t="shared" si="63"/>
        <v>-1331.039063</v>
      </c>
      <c r="BL76" s="132">
        <f t="shared" si="63"/>
        <v>-1316.492188</v>
      </c>
      <c r="BM76" s="132">
        <f t="shared" si="63"/>
        <v>-1301.945313</v>
      </c>
      <c r="BN76" s="132">
        <f t="shared" si="63"/>
        <v>-1287.398438</v>
      </c>
      <c r="BO76" s="132">
        <f t="shared" si="63"/>
        <v>-1272.851563</v>
      </c>
      <c r="BP76" s="132">
        <f t="shared" si="63"/>
        <v>-1258.304688</v>
      </c>
      <c r="BQ76" s="132">
        <f t="shared" si="63"/>
        <v>-1243.757813</v>
      </c>
      <c r="BR76" s="132">
        <f t="shared" si="63"/>
        <v>-1229.210938</v>
      </c>
      <c r="BS76" s="75"/>
    </row>
    <row r="77" ht="15.75" customHeight="1">
      <c r="A77" s="80"/>
      <c r="B77" s="75"/>
      <c r="C77" s="75"/>
      <c r="D77" s="75"/>
      <c r="E77" s="75"/>
      <c r="F77" s="75"/>
      <c r="G77" s="75"/>
      <c r="H77" s="75"/>
      <c r="I77" s="75"/>
      <c r="J77" s="92"/>
      <c r="K77" s="299"/>
      <c r="L77" s="299"/>
      <c r="M77" s="299"/>
      <c r="N77" s="299"/>
      <c r="O77" s="299"/>
      <c r="P77" s="299"/>
      <c r="Q77" s="299"/>
      <c r="R77" s="299"/>
      <c r="S77" s="299"/>
      <c r="T77" s="299"/>
      <c r="U77" s="299"/>
      <c r="V77" s="299"/>
      <c r="W77" s="299"/>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row>
    <row r="78" ht="15.75" customHeight="1">
      <c r="A78" s="80"/>
      <c r="B78" s="98" t="s">
        <v>308</v>
      </c>
      <c r="C78" s="98"/>
      <c r="D78" s="99"/>
      <c r="E78" s="300">
        <f t="shared" ref="E78:I78" si="64">SUMIFS($K78:$BR78,$K$2:$BR$2,E$1)</f>
        <v>-100859.9225</v>
      </c>
      <c r="F78" s="300">
        <f t="shared" si="64"/>
        <v>-17618.40899</v>
      </c>
      <c r="G78" s="300">
        <f t="shared" si="64"/>
        <v>9551.648035</v>
      </c>
      <c r="H78" s="300">
        <f t="shared" si="64"/>
        <v>21162.7282</v>
      </c>
      <c r="I78" s="300">
        <f t="shared" si="64"/>
        <v>76954.46806</v>
      </c>
      <c r="J78" s="92"/>
      <c r="K78" s="300">
        <f t="shared" ref="K78:BR78" si="65">K$70+K$73+K$76</f>
        <v>-12320.5499</v>
      </c>
      <c r="L78" s="300">
        <f t="shared" si="65"/>
        <v>-11110.50737</v>
      </c>
      <c r="M78" s="300">
        <f t="shared" si="65"/>
        <v>-10498.21267</v>
      </c>
      <c r="N78" s="300">
        <f t="shared" si="65"/>
        <v>-9885.917975</v>
      </c>
      <c r="O78" s="300">
        <f t="shared" si="65"/>
        <v>-9273.623275</v>
      </c>
      <c r="P78" s="300">
        <f t="shared" si="65"/>
        <v>-8661.328576</v>
      </c>
      <c r="Q78" s="300">
        <f t="shared" si="65"/>
        <v>-8049.033877</v>
      </c>
      <c r="R78" s="300">
        <f t="shared" si="65"/>
        <v>-7436.739178</v>
      </c>
      <c r="S78" s="300">
        <f t="shared" si="65"/>
        <v>-6824.444479</v>
      </c>
      <c r="T78" s="300">
        <f t="shared" si="65"/>
        <v>-6212.14978</v>
      </c>
      <c r="U78" s="300">
        <f t="shared" si="65"/>
        <v>-5599.855081</v>
      </c>
      <c r="V78" s="300">
        <f t="shared" si="65"/>
        <v>-4987.560382</v>
      </c>
      <c r="W78" s="300">
        <f t="shared" si="65"/>
        <v>-4159.005912</v>
      </c>
      <c r="X78" s="300">
        <f t="shared" si="65"/>
        <v>-3529.632703</v>
      </c>
      <c r="Y78" s="300">
        <f t="shared" si="65"/>
        <v>-2900.259495</v>
      </c>
      <c r="Z78" s="300">
        <f t="shared" si="65"/>
        <v>-2270.886287</v>
      </c>
      <c r="AA78" s="300">
        <f t="shared" si="65"/>
        <v>-1641.513078</v>
      </c>
      <c r="AB78" s="300">
        <f t="shared" si="65"/>
        <v>-1012.13987</v>
      </c>
      <c r="AC78" s="300">
        <f t="shared" si="65"/>
        <v>-826.319945</v>
      </c>
      <c r="AD78" s="300">
        <f t="shared" si="65"/>
        <v>-638.644562</v>
      </c>
      <c r="AE78" s="300">
        <f t="shared" si="65"/>
        <v>-449.0936201</v>
      </c>
      <c r="AF78" s="300">
        <f t="shared" si="65"/>
        <v>-257.6468008</v>
      </c>
      <c r="AG78" s="300">
        <f t="shared" si="65"/>
        <v>-64.28356552</v>
      </c>
      <c r="AH78" s="300">
        <f t="shared" si="65"/>
        <v>131.0168471</v>
      </c>
      <c r="AI78" s="300">
        <f t="shared" si="65"/>
        <v>-130.0814913</v>
      </c>
      <c r="AJ78" s="300">
        <f t="shared" si="65"/>
        <v>34.05733537</v>
      </c>
      <c r="AK78" s="300">
        <f t="shared" si="65"/>
        <v>199.4427617</v>
      </c>
      <c r="AL78" s="300">
        <f t="shared" si="65"/>
        <v>366.0851759</v>
      </c>
      <c r="AM78" s="300">
        <f t="shared" si="65"/>
        <v>533.9950529</v>
      </c>
      <c r="AN78" s="300">
        <f t="shared" si="65"/>
        <v>703.182955</v>
      </c>
      <c r="AO78" s="300">
        <f t="shared" si="65"/>
        <v>873.6595323</v>
      </c>
      <c r="AP78" s="300">
        <f t="shared" si="65"/>
        <v>1045.435524</v>
      </c>
      <c r="AQ78" s="300">
        <f t="shared" si="65"/>
        <v>1218.521758</v>
      </c>
      <c r="AR78" s="300">
        <f t="shared" si="65"/>
        <v>1392.929153</v>
      </c>
      <c r="AS78" s="300">
        <f t="shared" si="65"/>
        <v>1568.66872</v>
      </c>
      <c r="AT78" s="300">
        <f t="shared" si="65"/>
        <v>1745.751559</v>
      </c>
      <c r="AU78" s="300">
        <f t="shared" si="65"/>
        <v>941.2512748</v>
      </c>
      <c r="AV78" s="300">
        <f t="shared" si="65"/>
        <v>1087.784576</v>
      </c>
      <c r="AW78" s="300">
        <f t="shared" si="65"/>
        <v>1235.197787</v>
      </c>
      <c r="AX78" s="300">
        <f t="shared" si="65"/>
        <v>1383.496774</v>
      </c>
      <c r="AY78" s="300">
        <f t="shared" si="65"/>
        <v>1532.687441</v>
      </c>
      <c r="AZ78" s="300">
        <f t="shared" si="65"/>
        <v>1682.775734</v>
      </c>
      <c r="BA78" s="300">
        <f t="shared" si="65"/>
        <v>1833.767636</v>
      </c>
      <c r="BB78" s="300">
        <f t="shared" si="65"/>
        <v>1985.669171</v>
      </c>
      <c r="BC78" s="300">
        <f t="shared" si="65"/>
        <v>2138.486405</v>
      </c>
      <c r="BD78" s="300">
        <f t="shared" si="65"/>
        <v>2292.22544</v>
      </c>
      <c r="BE78" s="300">
        <f t="shared" si="65"/>
        <v>2446.892424</v>
      </c>
      <c r="BF78" s="300">
        <f t="shared" si="65"/>
        <v>2602.493541</v>
      </c>
      <c r="BG78" s="300">
        <f t="shared" si="65"/>
        <v>5528.952263</v>
      </c>
      <c r="BH78" s="300">
        <f t="shared" si="65"/>
        <v>5686.440373</v>
      </c>
      <c r="BI78" s="300">
        <f t="shared" si="65"/>
        <v>5844.881424</v>
      </c>
      <c r="BJ78" s="300">
        <f t="shared" si="65"/>
        <v>6004.28177</v>
      </c>
      <c r="BK78" s="300">
        <f t="shared" si="65"/>
        <v>6164.647806</v>
      </c>
      <c r="BL78" s="300">
        <f t="shared" si="65"/>
        <v>6325.985969</v>
      </c>
      <c r="BM78" s="300">
        <f t="shared" si="65"/>
        <v>6488.302741</v>
      </c>
      <c r="BN78" s="300">
        <f t="shared" si="65"/>
        <v>6651.604646</v>
      </c>
      <c r="BO78" s="300">
        <f t="shared" si="65"/>
        <v>6815.89825</v>
      </c>
      <c r="BP78" s="300">
        <f t="shared" si="65"/>
        <v>6981.190167</v>
      </c>
      <c r="BQ78" s="300">
        <f t="shared" si="65"/>
        <v>7147.48705</v>
      </c>
      <c r="BR78" s="300">
        <f t="shared" si="65"/>
        <v>7314.7956</v>
      </c>
      <c r="BS78" s="75"/>
    </row>
    <row r="79" ht="15.75" customHeight="1">
      <c r="A79" s="91"/>
      <c r="B79" s="126" t="s">
        <v>309</v>
      </c>
      <c r="C79" s="126"/>
      <c r="D79" s="284"/>
      <c r="E79" s="294">
        <f t="shared" ref="E79:I79" si="66">IFERROR(E78/E$26,0)</f>
        <v>-0.3482699406</v>
      </c>
      <c r="F79" s="294">
        <f t="shared" si="66"/>
        <v>-0.0344412578</v>
      </c>
      <c r="G79" s="294">
        <f t="shared" si="66"/>
        <v>0.01609126938</v>
      </c>
      <c r="H79" s="294">
        <f t="shared" si="66"/>
        <v>0.03262630941</v>
      </c>
      <c r="I79" s="294">
        <f t="shared" si="66"/>
        <v>0.1095473504</v>
      </c>
      <c r="J79" s="92"/>
      <c r="K79" s="294">
        <f t="shared" ref="K79:BR79" si="67">IFERROR(K78/K$26,0)</f>
        <v>-0.9351567491</v>
      </c>
      <c r="L79" s="294">
        <f t="shared" si="67"/>
        <v>-0.6696888369</v>
      </c>
      <c r="M79" s="294">
        <f t="shared" si="67"/>
        <v>-0.5737228982</v>
      </c>
      <c r="N79" s="294">
        <f t="shared" si="67"/>
        <v>-0.494141388</v>
      </c>
      <c r="O79" s="294">
        <f t="shared" si="67"/>
        <v>-0.4270783177</v>
      </c>
      <c r="P79" s="294">
        <f t="shared" si="67"/>
        <v>-0.3697952784</v>
      </c>
      <c r="Q79" s="294">
        <f t="shared" si="67"/>
        <v>-0.3202982834</v>
      </c>
      <c r="R79" s="294">
        <f t="shared" si="67"/>
        <v>-0.2771009058</v>
      </c>
      <c r="S79" s="294">
        <f t="shared" si="67"/>
        <v>-0.2390724453</v>
      </c>
      <c r="T79" s="294">
        <f t="shared" si="67"/>
        <v>-0.2053375206</v>
      </c>
      <c r="U79" s="294">
        <f t="shared" si="67"/>
        <v>-0.175207855</v>
      </c>
      <c r="V79" s="294">
        <f t="shared" si="67"/>
        <v>-0.1481348222</v>
      </c>
      <c r="W79" s="294">
        <f t="shared" si="67"/>
        <v>-0.1175627174</v>
      </c>
      <c r="X79" s="294">
        <f t="shared" si="67"/>
        <v>-0.09517743735</v>
      </c>
      <c r="Y79" s="294">
        <f t="shared" si="67"/>
        <v>-0.07476318825</v>
      </c>
      <c r="Z79" s="294">
        <f t="shared" si="67"/>
        <v>-0.05607062282</v>
      </c>
      <c r="AA79" s="294">
        <f t="shared" si="67"/>
        <v>-0.03889075054</v>
      </c>
      <c r="AB79" s="294">
        <f t="shared" si="67"/>
        <v>-0.02304709056</v>
      </c>
      <c r="AC79" s="294">
        <f t="shared" si="67"/>
        <v>-0.01861419487</v>
      </c>
      <c r="AD79" s="294">
        <f t="shared" si="67"/>
        <v>-0.01423231949</v>
      </c>
      <c r="AE79" s="294">
        <f t="shared" si="67"/>
        <v>-0.00990087999</v>
      </c>
      <c r="AF79" s="294">
        <f t="shared" si="67"/>
        <v>-0.0056192986</v>
      </c>
      <c r="AG79" s="294">
        <f t="shared" si="67"/>
        <v>-0.001387004143</v>
      </c>
      <c r="AH79" s="294">
        <f t="shared" si="67"/>
        <v>0.002796568041</v>
      </c>
      <c r="AI79" s="294">
        <f t="shared" si="67"/>
        <v>-0.002753655647</v>
      </c>
      <c r="AJ79" s="294">
        <f t="shared" si="67"/>
        <v>0.0007149911462</v>
      </c>
      <c r="AK79" s="294">
        <f t="shared" si="67"/>
        <v>0.004152447524</v>
      </c>
      <c r="AL79" s="294">
        <f t="shared" si="67"/>
        <v>0.007558992118</v>
      </c>
      <c r="AM79" s="294">
        <f t="shared" si="67"/>
        <v>0.01093490108</v>
      </c>
      <c r="AN79" s="294">
        <f t="shared" si="67"/>
        <v>0.01428044812</v>
      </c>
      <c r="AO79" s="294">
        <f t="shared" si="67"/>
        <v>0.01759590451</v>
      </c>
      <c r="AP79" s="294">
        <f t="shared" si="67"/>
        <v>0.02088153909</v>
      </c>
      <c r="AQ79" s="294">
        <f t="shared" si="67"/>
        <v>0.02413761836</v>
      </c>
      <c r="AR79" s="294">
        <f t="shared" si="67"/>
        <v>0.02736440641</v>
      </c>
      <c r="AS79" s="294">
        <f t="shared" si="67"/>
        <v>0.030562165</v>
      </c>
      <c r="AT79" s="294">
        <f t="shared" si="67"/>
        <v>0.03373115356</v>
      </c>
      <c r="AU79" s="294">
        <f t="shared" si="67"/>
        <v>0.01806627615</v>
      </c>
      <c r="AV79" s="294">
        <f t="shared" si="67"/>
        <v>0.02074055031</v>
      </c>
      <c r="AW79" s="294">
        <f t="shared" si="67"/>
        <v>0.02339527721</v>
      </c>
      <c r="AX79" s="294">
        <f t="shared" si="67"/>
        <v>0.02603059847</v>
      </c>
      <c r="AY79" s="294">
        <f t="shared" si="67"/>
        <v>0.02864665468</v>
      </c>
      <c r="AZ79" s="294">
        <f t="shared" si="67"/>
        <v>0.03124358543</v>
      </c>
      <c r="BA79" s="294">
        <f t="shared" si="67"/>
        <v>0.03382152931</v>
      </c>
      <c r="BB79" s="294">
        <f t="shared" si="67"/>
        <v>0.03638062389</v>
      </c>
      <c r="BC79" s="294">
        <f t="shared" si="67"/>
        <v>0.03892100579</v>
      </c>
      <c r="BD79" s="294">
        <f t="shared" si="67"/>
        <v>0.04144281061</v>
      </c>
      <c r="BE79" s="294">
        <f t="shared" si="67"/>
        <v>0.04394617299</v>
      </c>
      <c r="BF79" s="294">
        <f t="shared" si="67"/>
        <v>0.04643122659</v>
      </c>
      <c r="BG79" s="294">
        <f t="shared" si="67"/>
        <v>0.09798907283</v>
      </c>
      <c r="BH79" s="294">
        <f t="shared" si="67"/>
        <v>0.1001128003</v>
      </c>
      <c r="BI79" s="294">
        <f t="shared" si="67"/>
        <v>0.1022207673</v>
      </c>
      <c r="BJ79" s="294">
        <f t="shared" si="67"/>
        <v>0.1043130895</v>
      </c>
      <c r="BK79" s="294">
        <f t="shared" si="67"/>
        <v>0.1063898815</v>
      </c>
      <c r="BL79" s="294">
        <f t="shared" si="67"/>
        <v>0.1084512573</v>
      </c>
      <c r="BM79" s="294">
        <f t="shared" si="67"/>
        <v>0.1104973301</v>
      </c>
      <c r="BN79" s="294">
        <f t="shared" si="67"/>
        <v>0.1125282121</v>
      </c>
      <c r="BO79" s="294">
        <f t="shared" si="67"/>
        <v>0.1145440147</v>
      </c>
      <c r="BP79" s="294">
        <f t="shared" si="67"/>
        <v>0.1165448487</v>
      </c>
      <c r="BQ79" s="294">
        <f t="shared" si="67"/>
        <v>0.1185308238</v>
      </c>
      <c r="BR79" s="294">
        <f t="shared" si="67"/>
        <v>0.1205020492</v>
      </c>
      <c r="BS79" s="126"/>
    </row>
    <row r="80" ht="7.5" customHeight="1">
      <c r="A80" s="80"/>
      <c r="B80" s="75"/>
      <c r="C80" s="81"/>
      <c r="D80" s="82"/>
      <c r="E80" s="82"/>
      <c r="F80" s="82"/>
      <c r="G80" s="82"/>
      <c r="H80" s="82"/>
      <c r="I80" s="82"/>
      <c r="J80" s="92"/>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86"/>
      <c r="BL80" s="286"/>
      <c r="BM80" s="286"/>
      <c r="BN80" s="286"/>
      <c r="BO80" s="286"/>
      <c r="BP80" s="286"/>
      <c r="BQ80" s="286"/>
      <c r="BR80" s="286"/>
      <c r="BS80" s="82"/>
    </row>
    <row r="81" ht="15.75" customHeight="1">
      <c r="A81" s="80"/>
      <c r="B81" s="98" t="s">
        <v>310</v>
      </c>
      <c r="C81" s="98"/>
      <c r="D81" s="99"/>
      <c r="E81" s="300">
        <f t="shared" ref="E81:I81" si="68">SUMIFS($K81:$BR81,$K$2:$BR$2,E$1)</f>
        <v>-155859.9225</v>
      </c>
      <c r="F81" s="300">
        <f t="shared" si="68"/>
        <v>-72618.40899</v>
      </c>
      <c r="G81" s="300">
        <f t="shared" si="68"/>
        <v>-45448.35196</v>
      </c>
      <c r="H81" s="300">
        <f t="shared" si="68"/>
        <v>-33837.2718</v>
      </c>
      <c r="I81" s="300">
        <f t="shared" si="68"/>
        <v>21954.46806</v>
      </c>
      <c r="J81" s="92"/>
      <c r="K81" s="300">
        <f>K$70+K$73+K$76-IFERROR(('Input Assumptions'!$E$38/12),0)</f>
        <v>-16903.88323</v>
      </c>
      <c r="L81" s="300">
        <f>L$70+L$73+L$76-IFERROR(('Input Assumptions'!$E$38/12),0)</f>
        <v>-15693.84071</v>
      </c>
      <c r="M81" s="300">
        <f>M$70+M$73+M$76-IFERROR(('Input Assumptions'!$E$38/12),0)</f>
        <v>-15081.54601</v>
      </c>
      <c r="N81" s="300">
        <f>N$70+N$73+N$76-IFERROR(('Input Assumptions'!$E$38/12),0)</f>
        <v>-14469.25131</v>
      </c>
      <c r="O81" s="300">
        <f>O$70+O$73+O$76-IFERROR(('Input Assumptions'!$E$38/12),0)</f>
        <v>-13856.95661</v>
      </c>
      <c r="P81" s="300">
        <f>P$70+P$73+P$76-IFERROR(('Input Assumptions'!$E$38/12),0)</f>
        <v>-13244.66191</v>
      </c>
      <c r="Q81" s="300">
        <f>Q$70+Q$73+Q$76-IFERROR(('Input Assumptions'!$E$38/12),0)</f>
        <v>-12632.36721</v>
      </c>
      <c r="R81" s="300">
        <f>R$70+R$73+R$76-IFERROR(('Input Assumptions'!$E$38/12),0)</f>
        <v>-12020.07251</v>
      </c>
      <c r="S81" s="300">
        <f>S$70+S$73+S$76-IFERROR(('Input Assumptions'!$E$38/12),0)</f>
        <v>-11407.77781</v>
      </c>
      <c r="T81" s="300">
        <f>T$70+T$73+T$76-IFERROR(('Input Assumptions'!$E$38/12),0)</f>
        <v>-10795.48311</v>
      </c>
      <c r="U81" s="300">
        <f>U$70+U$73+U$76-IFERROR(('Input Assumptions'!$E$38/12),0)</f>
        <v>-10183.18841</v>
      </c>
      <c r="V81" s="300">
        <f>V$70+V$73+V$76-IFERROR(('Input Assumptions'!$E$38/12),0)</f>
        <v>-9570.893715</v>
      </c>
      <c r="W81" s="300">
        <f>W$70+W$73+W$76-IFERROR(('Input Assumptions'!$E$38/12),0)</f>
        <v>-8742.339245</v>
      </c>
      <c r="X81" s="300">
        <f>X$70+X$73+X$76-IFERROR(('Input Assumptions'!$E$38/12),0)</f>
        <v>-8112.966037</v>
      </c>
      <c r="Y81" s="300">
        <f>Y$70+Y$73+Y$76-IFERROR(('Input Assumptions'!$E$38/12),0)</f>
        <v>-7483.592828</v>
      </c>
      <c r="Z81" s="300">
        <f>Z$70+Z$73+Z$76-IFERROR(('Input Assumptions'!$E$38/12),0)</f>
        <v>-6854.21962</v>
      </c>
      <c r="AA81" s="300">
        <f>AA$70+AA$73+AA$76-IFERROR(('Input Assumptions'!$E$38/12),0)</f>
        <v>-6224.846412</v>
      </c>
      <c r="AB81" s="300">
        <f>AB$70+AB$73+AB$76-IFERROR(('Input Assumptions'!$E$38/12),0)</f>
        <v>-5595.473203</v>
      </c>
      <c r="AC81" s="300">
        <f>AC$70+AC$73+AC$76-IFERROR(('Input Assumptions'!$E$38/12),0)</f>
        <v>-5409.653278</v>
      </c>
      <c r="AD81" s="300">
        <f>AD$70+AD$73+AD$76-IFERROR(('Input Assumptions'!$E$38/12),0)</f>
        <v>-5221.977895</v>
      </c>
      <c r="AE81" s="300">
        <f>AE$70+AE$73+AE$76-IFERROR(('Input Assumptions'!$E$38/12),0)</f>
        <v>-5032.426953</v>
      </c>
      <c r="AF81" s="300">
        <f>AF$70+AF$73+AF$76-IFERROR(('Input Assumptions'!$E$38/12),0)</f>
        <v>-4840.980134</v>
      </c>
      <c r="AG81" s="300">
        <f>AG$70+AG$73+AG$76-IFERROR(('Input Assumptions'!$E$38/12),0)</f>
        <v>-4647.616899</v>
      </c>
      <c r="AH81" s="300">
        <f>AH$70+AH$73+AH$76-IFERROR(('Input Assumptions'!$E$38/12),0)</f>
        <v>-4452.316486</v>
      </c>
      <c r="AI81" s="300">
        <f>AI$70+AI$73+AI$76-IFERROR(('Input Assumptions'!$E$38/12),0)</f>
        <v>-4713.414825</v>
      </c>
      <c r="AJ81" s="300">
        <f>AJ$70+AJ$73+AJ$76-IFERROR(('Input Assumptions'!$E$38/12),0)</f>
        <v>-4549.275998</v>
      </c>
      <c r="AK81" s="300">
        <f>AK$70+AK$73+AK$76-IFERROR(('Input Assumptions'!$E$38/12),0)</f>
        <v>-4383.890572</v>
      </c>
      <c r="AL81" s="300">
        <f>AL$70+AL$73+AL$76-IFERROR(('Input Assumptions'!$E$38/12),0)</f>
        <v>-4217.248157</v>
      </c>
      <c r="AM81" s="300">
        <f>AM$70+AM$73+AM$76-IFERROR(('Input Assumptions'!$E$38/12),0)</f>
        <v>-4049.33828</v>
      </c>
      <c r="AN81" s="300">
        <f>AN$70+AN$73+AN$76-IFERROR(('Input Assumptions'!$E$38/12),0)</f>
        <v>-3880.150378</v>
      </c>
      <c r="AO81" s="300">
        <f>AO$70+AO$73+AO$76-IFERROR(('Input Assumptions'!$E$38/12),0)</f>
        <v>-3709.673801</v>
      </c>
      <c r="AP81" s="300">
        <f>AP$70+AP$73+AP$76-IFERROR(('Input Assumptions'!$E$38/12),0)</f>
        <v>-3537.89781</v>
      </c>
      <c r="AQ81" s="300">
        <f>AQ$70+AQ$73+AQ$76-IFERROR(('Input Assumptions'!$E$38/12),0)</f>
        <v>-3364.811575</v>
      </c>
      <c r="AR81" s="300">
        <f>AR$70+AR$73+AR$76-IFERROR(('Input Assumptions'!$E$38/12),0)</f>
        <v>-3190.40418</v>
      </c>
      <c r="AS81" s="300">
        <f>AS$70+AS$73+AS$76-IFERROR(('Input Assumptions'!$E$38/12),0)</f>
        <v>-3014.664614</v>
      </c>
      <c r="AT81" s="300">
        <f>AT$70+AT$73+AT$76-IFERROR(('Input Assumptions'!$E$38/12),0)</f>
        <v>-2837.581775</v>
      </c>
      <c r="AU81" s="300">
        <f>AU$70+AU$73+AU$76-IFERROR(('Input Assumptions'!$E$38/12),0)</f>
        <v>-3642.082059</v>
      </c>
      <c r="AV81" s="300">
        <f>AV$70+AV$73+AV$76-IFERROR(('Input Assumptions'!$E$38/12),0)</f>
        <v>-3495.548757</v>
      </c>
      <c r="AW81" s="300">
        <f>AW$70+AW$73+AW$76-IFERROR(('Input Assumptions'!$E$38/12),0)</f>
        <v>-3348.135546</v>
      </c>
      <c r="AX81" s="300">
        <f>AX$70+AX$73+AX$76-IFERROR(('Input Assumptions'!$E$38/12),0)</f>
        <v>-3199.83656</v>
      </c>
      <c r="AY81" s="300">
        <f>AY$70+AY$73+AY$76-IFERROR(('Input Assumptions'!$E$38/12),0)</f>
        <v>-3050.645892</v>
      </c>
      <c r="AZ81" s="300">
        <f>AZ$70+AZ$73+AZ$76-IFERROR(('Input Assumptions'!$E$38/12),0)</f>
        <v>-2900.5576</v>
      </c>
      <c r="BA81" s="300">
        <f>BA$70+BA$73+BA$76-IFERROR(('Input Assumptions'!$E$38/12),0)</f>
        <v>-2749.565698</v>
      </c>
      <c r="BB81" s="300">
        <f>BB$70+BB$73+BB$76-IFERROR(('Input Assumptions'!$E$38/12),0)</f>
        <v>-2597.664162</v>
      </c>
      <c r="BC81" s="300">
        <f>BC$70+BC$73+BC$76-IFERROR(('Input Assumptions'!$E$38/12),0)</f>
        <v>-2444.846929</v>
      </c>
      <c r="BD81" s="300">
        <f>BD$70+BD$73+BD$76-IFERROR(('Input Assumptions'!$E$38/12),0)</f>
        <v>-2291.107893</v>
      </c>
      <c r="BE81" s="300">
        <f>BE$70+BE$73+BE$76-IFERROR(('Input Assumptions'!$E$38/12),0)</f>
        <v>-2136.44091</v>
      </c>
      <c r="BF81" s="300">
        <f>BF$70+BF$73+BF$76-IFERROR(('Input Assumptions'!$E$38/12),0)</f>
        <v>-1980.839792</v>
      </c>
      <c r="BG81" s="300">
        <f>BG$70+BG$73+BG$76-IFERROR(('Input Assumptions'!$E$38/12),0)</f>
        <v>945.6189296</v>
      </c>
      <c r="BH81" s="300">
        <f>BH$70+BH$73+BH$76-IFERROR(('Input Assumptions'!$E$38/12),0)</f>
        <v>1103.107039</v>
      </c>
      <c r="BI81" s="300">
        <f>BI$70+BI$73+BI$76-IFERROR(('Input Assumptions'!$E$38/12),0)</f>
        <v>1261.548091</v>
      </c>
      <c r="BJ81" s="300">
        <f>BJ$70+BJ$73+BJ$76-IFERROR(('Input Assumptions'!$E$38/12),0)</f>
        <v>1420.948437</v>
      </c>
      <c r="BK81" s="300">
        <f>BK$70+BK$73+BK$76-IFERROR(('Input Assumptions'!$E$38/12),0)</f>
        <v>1581.314472</v>
      </c>
      <c r="BL81" s="300">
        <f>BL$70+BL$73+BL$76-IFERROR(('Input Assumptions'!$E$38/12),0)</f>
        <v>1742.652636</v>
      </c>
      <c r="BM81" s="300">
        <f>BM$70+BM$73+BM$76-IFERROR(('Input Assumptions'!$E$38/12),0)</f>
        <v>1904.969408</v>
      </c>
      <c r="BN81" s="300">
        <f>BN$70+BN$73+BN$76-IFERROR(('Input Assumptions'!$E$38/12),0)</f>
        <v>2068.271312</v>
      </c>
      <c r="BO81" s="300">
        <f>BO$70+BO$73+BO$76-IFERROR(('Input Assumptions'!$E$38/12),0)</f>
        <v>2232.564917</v>
      </c>
      <c r="BP81" s="300">
        <f>BP$70+BP$73+BP$76-IFERROR(('Input Assumptions'!$E$38/12),0)</f>
        <v>2397.856834</v>
      </c>
      <c r="BQ81" s="300">
        <f>BQ$70+BQ$73+BQ$76-IFERROR(('Input Assumptions'!$E$38/12),0)</f>
        <v>2564.153717</v>
      </c>
      <c r="BR81" s="300">
        <f>BR$70+BR$73+BR$76-IFERROR(('Input Assumptions'!$E$38/12),0)</f>
        <v>2731.462267</v>
      </c>
      <c r="BS81" s="75"/>
    </row>
    <row r="82" ht="15.75" customHeight="1">
      <c r="A82" s="91"/>
      <c r="B82" s="126" t="s">
        <v>309</v>
      </c>
      <c r="C82" s="126"/>
      <c r="D82" s="284"/>
      <c r="E82" s="294">
        <f t="shared" ref="E82:I82" si="69">IFERROR(E81/E$26,0)</f>
        <v>-0.5381852831</v>
      </c>
      <c r="F82" s="294">
        <f t="shared" si="69"/>
        <v>-0.1419577299</v>
      </c>
      <c r="G82" s="294">
        <f t="shared" si="69"/>
        <v>-0.07656497302</v>
      </c>
      <c r="H82" s="294">
        <f t="shared" si="69"/>
        <v>-0.05216649236</v>
      </c>
      <c r="I82" s="294">
        <f t="shared" si="69"/>
        <v>0.03125294562</v>
      </c>
      <c r="J82" s="92"/>
      <c r="K82" s="294">
        <f t="shared" ref="K82:BR82" si="70">IFERROR(K81/K$26,0)</f>
        <v>-1.283041798</v>
      </c>
      <c r="L82" s="294">
        <f t="shared" si="70"/>
        <v>-0.9459504932</v>
      </c>
      <c r="M82" s="294">
        <f t="shared" si="70"/>
        <v>-0.8242001332</v>
      </c>
      <c r="N82" s="294">
        <f t="shared" si="70"/>
        <v>-0.7232364201</v>
      </c>
      <c r="O82" s="294">
        <f t="shared" si="70"/>
        <v>-0.6381546394</v>
      </c>
      <c r="P82" s="294">
        <f t="shared" si="70"/>
        <v>-0.5654806183</v>
      </c>
      <c r="Q82" s="294">
        <f t="shared" si="70"/>
        <v>-0.5026846196</v>
      </c>
      <c r="R82" s="294">
        <f t="shared" si="70"/>
        <v>-0.4478808388</v>
      </c>
      <c r="S82" s="294">
        <f t="shared" si="70"/>
        <v>-0.3996347754</v>
      </c>
      <c r="T82" s="294">
        <f t="shared" si="70"/>
        <v>-0.3568358482</v>
      </c>
      <c r="U82" s="294">
        <f t="shared" si="70"/>
        <v>-0.3186108522</v>
      </c>
      <c r="V82" s="294">
        <f t="shared" si="70"/>
        <v>-0.2842637543</v>
      </c>
      <c r="W82" s="294">
        <f t="shared" si="70"/>
        <v>-0.2471199079</v>
      </c>
      <c r="X82" s="294">
        <f t="shared" si="70"/>
        <v>-0.2187681783</v>
      </c>
      <c r="Y82" s="294">
        <f t="shared" si="70"/>
        <v>-0.1929128274</v>
      </c>
      <c r="Z82" s="294">
        <f t="shared" si="70"/>
        <v>-0.1692380483</v>
      </c>
      <c r="AA82" s="294">
        <f t="shared" si="70"/>
        <v>-0.1474791472</v>
      </c>
      <c r="AB82" s="294">
        <f t="shared" si="70"/>
        <v>-0.1274126052</v>
      </c>
      <c r="AC82" s="294">
        <f t="shared" si="70"/>
        <v>-0.1218612002</v>
      </c>
      <c r="AD82" s="294">
        <f t="shared" si="70"/>
        <v>-0.116372803</v>
      </c>
      <c r="AE82" s="294">
        <f t="shared" si="70"/>
        <v>-0.1109467004</v>
      </c>
      <c r="AF82" s="294">
        <f t="shared" si="70"/>
        <v>-0.1055821877</v>
      </c>
      <c r="AG82" s="294">
        <f t="shared" si="70"/>
        <v>-0.100278568</v>
      </c>
      <c r="AH82" s="294">
        <f t="shared" si="70"/>
        <v>-0.09503515216</v>
      </c>
      <c r="AI82" s="294">
        <f t="shared" si="70"/>
        <v>-0.09977684924</v>
      </c>
      <c r="AJ82" s="294">
        <f t="shared" si="70"/>
        <v>-0.09550635787</v>
      </c>
      <c r="AK82" s="294">
        <f t="shared" si="70"/>
        <v>-0.09127368373</v>
      </c>
      <c r="AL82" s="294">
        <f t="shared" si="70"/>
        <v>-0.08707849343</v>
      </c>
      <c r="AM82" s="294">
        <f t="shared" si="70"/>
        <v>-0.08292045648</v>
      </c>
      <c r="AN82" s="294">
        <f t="shared" si="70"/>
        <v>-0.07879924533</v>
      </c>
      <c r="AO82" s="294">
        <f t="shared" si="70"/>
        <v>-0.07471453528</v>
      </c>
      <c r="AP82" s="294">
        <f t="shared" si="70"/>
        <v>-0.0706660045</v>
      </c>
      <c r="AQ82" s="294">
        <f t="shared" si="70"/>
        <v>-0.06665333396</v>
      </c>
      <c r="AR82" s="294">
        <f t="shared" si="70"/>
        <v>-0.06267620746</v>
      </c>
      <c r="AS82" s="294">
        <f t="shared" si="70"/>
        <v>-0.05873431157</v>
      </c>
      <c r="AT82" s="294">
        <f t="shared" si="70"/>
        <v>-0.0548273356</v>
      </c>
      <c r="AU82" s="294">
        <f t="shared" si="70"/>
        <v>-0.06990573294</v>
      </c>
      <c r="AV82" s="294">
        <f t="shared" si="70"/>
        <v>-0.0666488627</v>
      </c>
      <c r="AW82" s="294">
        <f t="shared" si="70"/>
        <v>-0.06341539796</v>
      </c>
      <c r="AX82" s="294">
        <f t="shared" si="70"/>
        <v>-0.06020517157</v>
      </c>
      <c r="AY82" s="294">
        <f t="shared" si="70"/>
        <v>-0.05701801755</v>
      </c>
      <c r="AZ82" s="294">
        <f t="shared" si="70"/>
        <v>-0.05385377109</v>
      </c>
      <c r="BA82" s="294">
        <f t="shared" si="70"/>
        <v>-0.05071226856</v>
      </c>
      <c r="BB82" s="294">
        <f t="shared" si="70"/>
        <v>-0.04759334749</v>
      </c>
      <c r="BC82" s="294">
        <f t="shared" si="70"/>
        <v>-0.04449684658</v>
      </c>
      <c r="BD82" s="294">
        <f t="shared" si="70"/>
        <v>-0.04142260566</v>
      </c>
      <c r="BE82" s="294">
        <f t="shared" si="70"/>
        <v>-0.03837046569</v>
      </c>
      <c r="BF82" s="294">
        <f t="shared" si="70"/>
        <v>-0.03534026878</v>
      </c>
      <c r="BG82" s="294">
        <f t="shared" si="70"/>
        <v>0.01675911054</v>
      </c>
      <c r="BH82" s="294">
        <f t="shared" si="70"/>
        <v>0.0194207848</v>
      </c>
      <c r="BI82" s="294">
        <f t="shared" si="70"/>
        <v>0.02206313602</v>
      </c>
      <c r="BJ82" s="294">
        <f t="shared" si="70"/>
        <v>0.02468630338</v>
      </c>
      <c r="BK82" s="294">
        <f t="shared" si="70"/>
        <v>0.02729042511</v>
      </c>
      <c r="BL82" s="294">
        <f t="shared" si="70"/>
        <v>0.02987563841</v>
      </c>
      <c r="BM82" s="294">
        <f t="shared" si="70"/>
        <v>0.03244207951</v>
      </c>
      <c r="BN82" s="294">
        <f t="shared" si="70"/>
        <v>0.03498988368</v>
      </c>
      <c r="BO82" s="294">
        <f t="shared" si="70"/>
        <v>0.03751918519</v>
      </c>
      <c r="BP82" s="294">
        <f t="shared" si="70"/>
        <v>0.04003011738</v>
      </c>
      <c r="BQ82" s="294">
        <f t="shared" si="70"/>
        <v>0.04252281262</v>
      </c>
      <c r="BR82" s="294">
        <f t="shared" si="70"/>
        <v>0.04499740233</v>
      </c>
      <c r="BS82" s="126"/>
    </row>
    <row r="83" ht="7.5" customHeight="1">
      <c r="A83" s="80"/>
      <c r="B83" s="75"/>
      <c r="C83" s="81"/>
      <c r="D83" s="82"/>
      <c r="E83" s="82"/>
      <c r="F83" s="82"/>
      <c r="G83" s="82"/>
      <c r="H83" s="82"/>
      <c r="I83" s="82"/>
      <c r="J83" s="92"/>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c r="AJ83" s="286"/>
      <c r="AK83" s="286"/>
      <c r="AL83" s="286"/>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86"/>
      <c r="BL83" s="286"/>
      <c r="BM83" s="286"/>
      <c r="BN83" s="286"/>
      <c r="BO83" s="286"/>
      <c r="BP83" s="286"/>
      <c r="BQ83" s="286"/>
      <c r="BR83" s="286"/>
      <c r="BS83" s="82"/>
    </row>
    <row r="84" ht="15.75" customHeight="1">
      <c r="A84" s="91"/>
      <c r="B84" s="126" t="s">
        <v>311</v>
      </c>
      <c r="C84" s="126"/>
      <c r="D84" s="126"/>
      <c r="E84" s="294">
        <f>Corp_Tax</f>
        <v>0.21</v>
      </c>
      <c r="F84" s="294">
        <f>Corp_Tax</f>
        <v>0.21</v>
      </c>
      <c r="G84" s="294">
        <f>Corp_Tax</f>
        <v>0.21</v>
      </c>
      <c r="H84" s="294">
        <f>Corp_Tax</f>
        <v>0.21</v>
      </c>
      <c r="I84" s="294">
        <f>Corp_Tax</f>
        <v>0.21</v>
      </c>
      <c r="J84" s="92"/>
      <c r="K84" s="294">
        <f>Corp_Tax</f>
        <v>0.21</v>
      </c>
      <c r="L84" s="294">
        <f>Corp_Tax</f>
        <v>0.21</v>
      </c>
      <c r="M84" s="294">
        <f>Corp_Tax</f>
        <v>0.21</v>
      </c>
      <c r="N84" s="294">
        <f>Corp_Tax</f>
        <v>0.21</v>
      </c>
      <c r="O84" s="294">
        <f>Corp_Tax</f>
        <v>0.21</v>
      </c>
      <c r="P84" s="294">
        <f>Corp_Tax</f>
        <v>0.21</v>
      </c>
      <c r="Q84" s="294">
        <f>Corp_Tax</f>
        <v>0.21</v>
      </c>
      <c r="R84" s="294">
        <f>Corp_Tax</f>
        <v>0.21</v>
      </c>
      <c r="S84" s="294">
        <f>Corp_Tax</f>
        <v>0.21</v>
      </c>
      <c r="T84" s="294">
        <f>Corp_Tax</f>
        <v>0.21</v>
      </c>
      <c r="U84" s="294">
        <f>Corp_Tax</f>
        <v>0.21</v>
      </c>
      <c r="V84" s="294">
        <f>Corp_Tax</f>
        <v>0.21</v>
      </c>
      <c r="W84" s="294">
        <f>Corp_Tax</f>
        <v>0.21</v>
      </c>
      <c r="X84" s="294">
        <f>Corp_Tax</f>
        <v>0.21</v>
      </c>
      <c r="Y84" s="294">
        <f>Corp_Tax</f>
        <v>0.21</v>
      </c>
      <c r="Z84" s="294">
        <f>Corp_Tax</f>
        <v>0.21</v>
      </c>
      <c r="AA84" s="294">
        <f>Corp_Tax</f>
        <v>0.21</v>
      </c>
      <c r="AB84" s="294">
        <f>Corp_Tax</f>
        <v>0.21</v>
      </c>
      <c r="AC84" s="294">
        <f>Corp_Tax</f>
        <v>0.21</v>
      </c>
      <c r="AD84" s="294">
        <f>Corp_Tax</f>
        <v>0.21</v>
      </c>
      <c r="AE84" s="294">
        <f>Corp_Tax</f>
        <v>0.21</v>
      </c>
      <c r="AF84" s="294">
        <f>Corp_Tax</f>
        <v>0.21</v>
      </c>
      <c r="AG84" s="294">
        <f>Corp_Tax</f>
        <v>0.21</v>
      </c>
      <c r="AH84" s="294">
        <f>Corp_Tax</f>
        <v>0.21</v>
      </c>
      <c r="AI84" s="294">
        <f>Corp_Tax</f>
        <v>0.21</v>
      </c>
      <c r="AJ84" s="294">
        <f>Corp_Tax</f>
        <v>0.21</v>
      </c>
      <c r="AK84" s="294">
        <f>Corp_Tax</f>
        <v>0.21</v>
      </c>
      <c r="AL84" s="294">
        <f>Corp_Tax</f>
        <v>0.21</v>
      </c>
      <c r="AM84" s="294">
        <f>Corp_Tax</f>
        <v>0.21</v>
      </c>
      <c r="AN84" s="294">
        <f>Corp_Tax</f>
        <v>0.21</v>
      </c>
      <c r="AO84" s="294">
        <f>Corp_Tax</f>
        <v>0.21</v>
      </c>
      <c r="AP84" s="294">
        <f>Corp_Tax</f>
        <v>0.21</v>
      </c>
      <c r="AQ84" s="294">
        <f>Corp_Tax</f>
        <v>0.21</v>
      </c>
      <c r="AR84" s="294">
        <f>Corp_Tax</f>
        <v>0.21</v>
      </c>
      <c r="AS84" s="294">
        <f>Corp_Tax</f>
        <v>0.21</v>
      </c>
      <c r="AT84" s="294">
        <f>Corp_Tax</f>
        <v>0.21</v>
      </c>
      <c r="AU84" s="294">
        <f>Corp_Tax</f>
        <v>0.21</v>
      </c>
      <c r="AV84" s="294">
        <f>Corp_Tax</f>
        <v>0.21</v>
      </c>
      <c r="AW84" s="294">
        <f>Corp_Tax</f>
        <v>0.21</v>
      </c>
      <c r="AX84" s="294">
        <f>Corp_Tax</f>
        <v>0.21</v>
      </c>
      <c r="AY84" s="294">
        <f>Corp_Tax</f>
        <v>0.21</v>
      </c>
      <c r="AZ84" s="294">
        <f>Corp_Tax</f>
        <v>0.21</v>
      </c>
      <c r="BA84" s="294">
        <f>Corp_Tax</f>
        <v>0.21</v>
      </c>
      <c r="BB84" s="294">
        <f>Corp_Tax</f>
        <v>0.21</v>
      </c>
      <c r="BC84" s="294">
        <f>Corp_Tax</f>
        <v>0.21</v>
      </c>
      <c r="BD84" s="294">
        <f>Corp_Tax</f>
        <v>0.21</v>
      </c>
      <c r="BE84" s="294">
        <f>Corp_Tax</f>
        <v>0.21</v>
      </c>
      <c r="BF84" s="294">
        <f>Corp_Tax</f>
        <v>0.21</v>
      </c>
      <c r="BG84" s="294">
        <f>Corp_Tax</f>
        <v>0.21</v>
      </c>
      <c r="BH84" s="294">
        <f>Corp_Tax</f>
        <v>0.21</v>
      </c>
      <c r="BI84" s="294">
        <f>Corp_Tax</f>
        <v>0.21</v>
      </c>
      <c r="BJ84" s="294">
        <f>Corp_Tax</f>
        <v>0.21</v>
      </c>
      <c r="BK84" s="294">
        <f>Corp_Tax</f>
        <v>0.21</v>
      </c>
      <c r="BL84" s="294">
        <f>Corp_Tax</f>
        <v>0.21</v>
      </c>
      <c r="BM84" s="294">
        <f>Corp_Tax</f>
        <v>0.21</v>
      </c>
      <c r="BN84" s="294">
        <f>Corp_Tax</f>
        <v>0.21</v>
      </c>
      <c r="BO84" s="294">
        <f>Corp_Tax</f>
        <v>0.21</v>
      </c>
      <c r="BP84" s="294">
        <f>Corp_Tax</f>
        <v>0.21</v>
      </c>
      <c r="BQ84" s="294">
        <f>Corp_Tax</f>
        <v>0.21</v>
      </c>
      <c r="BR84" s="294">
        <f>Corp_Tax</f>
        <v>0.21</v>
      </c>
      <c r="BS84" s="126"/>
    </row>
    <row r="85" ht="15.75" customHeight="1">
      <c r="A85" s="80"/>
      <c r="B85" s="298" t="s">
        <v>286</v>
      </c>
      <c r="C85" s="131"/>
      <c r="D85" s="102"/>
      <c r="E85" s="132">
        <f t="shared" ref="E85:I85" si="71">SUMIFS($K85:$BR85,$K$2:$BR$2,E$1)</f>
        <v>0</v>
      </c>
      <c r="F85" s="132">
        <f t="shared" si="71"/>
        <v>0</v>
      </c>
      <c r="G85" s="132">
        <f t="shared" si="71"/>
        <v>0</v>
      </c>
      <c r="H85" s="132">
        <f t="shared" si="71"/>
        <v>0</v>
      </c>
      <c r="I85" s="132">
        <f t="shared" si="71"/>
        <v>0</v>
      </c>
      <c r="J85" s="92"/>
      <c r="K85" s="309">
        <f t="shared" ref="K85:BR85" si="72">IF(SUMIFS($K81:$BR81,$K$2:$BR$2,K$2)&lt;0,0,IF(J$152=0,(K$78)*K84,0))</f>
        <v>0</v>
      </c>
      <c r="L85" s="309">
        <f t="shared" si="72"/>
        <v>0</v>
      </c>
      <c r="M85" s="309">
        <f t="shared" si="72"/>
        <v>0</v>
      </c>
      <c r="N85" s="309">
        <f t="shared" si="72"/>
        <v>0</v>
      </c>
      <c r="O85" s="309">
        <f t="shared" si="72"/>
        <v>0</v>
      </c>
      <c r="P85" s="309">
        <f t="shared" si="72"/>
        <v>0</v>
      </c>
      <c r="Q85" s="309">
        <f t="shared" si="72"/>
        <v>0</v>
      </c>
      <c r="R85" s="309">
        <f t="shared" si="72"/>
        <v>0</v>
      </c>
      <c r="S85" s="309">
        <f t="shared" si="72"/>
        <v>0</v>
      </c>
      <c r="T85" s="309">
        <f t="shared" si="72"/>
        <v>0</v>
      </c>
      <c r="U85" s="309">
        <f t="shared" si="72"/>
        <v>0</v>
      </c>
      <c r="V85" s="309">
        <f t="shared" si="72"/>
        <v>0</v>
      </c>
      <c r="W85" s="309">
        <f t="shared" si="72"/>
        <v>0</v>
      </c>
      <c r="X85" s="309">
        <f t="shared" si="72"/>
        <v>0</v>
      </c>
      <c r="Y85" s="309">
        <f t="shared" si="72"/>
        <v>0</v>
      </c>
      <c r="Z85" s="309">
        <f t="shared" si="72"/>
        <v>0</v>
      </c>
      <c r="AA85" s="309">
        <f t="shared" si="72"/>
        <v>0</v>
      </c>
      <c r="AB85" s="309">
        <f t="shared" si="72"/>
        <v>0</v>
      </c>
      <c r="AC85" s="309">
        <f t="shared" si="72"/>
        <v>0</v>
      </c>
      <c r="AD85" s="309">
        <f t="shared" si="72"/>
        <v>0</v>
      </c>
      <c r="AE85" s="309">
        <f t="shared" si="72"/>
        <v>0</v>
      </c>
      <c r="AF85" s="309">
        <f t="shared" si="72"/>
        <v>0</v>
      </c>
      <c r="AG85" s="309">
        <f t="shared" si="72"/>
        <v>0</v>
      </c>
      <c r="AH85" s="309">
        <f t="shared" si="72"/>
        <v>0</v>
      </c>
      <c r="AI85" s="309">
        <f t="shared" si="72"/>
        <v>0</v>
      </c>
      <c r="AJ85" s="309">
        <f t="shared" si="72"/>
        <v>0</v>
      </c>
      <c r="AK85" s="309">
        <f t="shared" si="72"/>
        <v>0</v>
      </c>
      <c r="AL85" s="309">
        <f t="shared" si="72"/>
        <v>0</v>
      </c>
      <c r="AM85" s="309">
        <f t="shared" si="72"/>
        <v>0</v>
      </c>
      <c r="AN85" s="309">
        <f t="shared" si="72"/>
        <v>0</v>
      </c>
      <c r="AO85" s="309">
        <f t="shared" si="72"/>
        <v>0</v>
      </c>
      <c r="AP85" s="309">
        <f t="shared" si="72"/>
        <v>0</v>
      </c>
      <c r="AQ85" s="309">
        <f t="shared" si="72"/>
        <v>0</v>
      </c>
      <c r="AR85" s="309">
        <f t="shared" si="72"/>
        <v>0</v>
      </c>
      <c r="AS85" s="309">
        <f t="shared" si="72"/>
        <v>0</v>
      </c>
      <c r="AT85" s="309">
        <f t="shared" si="72"/>
        <v>0</v>
      </c>
      <c r="AU85" s="309">
        <f t="shared" si="72"/>
        <v>0</v>
      </c>
      <c r="AV85" s="309">
        <f t="shared" si="72"/>
        <v>0</v>
      </c>
      <c r="AW85" s="309">
        <f t="shared" si="72"/>
        <v>0</v>
      </c>
      <c r="AX85" s="309">
        <f t="shared" si="72"/>
        <v>0</v>
      </c>
      <c r="AY85" s="309">
        <f t="shared" si="72"/>
        <v>0</v>
      </c>
      <c r="AZ85" s="309">
        <f t="shared" si="72"/>
        <v>0</v>
      </c>
      <c r="BA85" s="309">
        <f t="shared" si="72"/>
        <v>0</v>
      </c>
      <c r="BB85" s="309">
        <f t="shared" si="72"/>
        <v>0</v>
      </c>
      <c r="BC85" s="309">
        <f t="shared" si="72"/>
        <v>0</v>
      </c>
      <c r="BD85" s="309">
        <f t="shared" si="72"/>
        <v>0</v>
      </c>
      <c r="BE85" s="309">
        <f t="shared" si="72"/>
        <v>0</v>
      </c>
      <c r="BF85" s="309">
        <f t="shared" si="72"/>
        <v>0</v>
      </c>
      <c r="BG85" s="309">
        <f t="shared" si="72"/>
        <v>0</v>
      </c>
      <c r="BH85" s="309">
        <f t="shared" si="72"/>
        <v>0</v>
      </c>
      <c r="BI85" s="309">
        <f t="shared" si="72"/>
        <v>0</v>
      </c>
      <c r="BJ85" s="309">
        <f t="shared" si="72"/>
        <v>0</v>
      </c>
      <c r="BK85" s="309">
        <f t="shared" si="72"/>
        <v>0</v>
      </c>
      <c r="BL85" s="309">
        <f t="shared" si="72"/>
        <v>0</v>
      </c>
      <c r="BM85" s="309">
        <f t="shared" si="72"/>
        <v>0</v>
      </c>
      <c r="BN85" s="309">
        <f t="shared" si="72"/>
        <v>0</v>
      </c>
      <c r="BO85" s="309">
        <f t="shared" si="72"/>
        <v>0</v>
      </c>
      <c r="BP85" s="309">
        <f t="shared" si="72"/>
        <v>0</v>
      </c>
      <c r="BQ85" s="309">
        <f t="shared" si="72"/>
        <v>0</v>
      </c>
      <c r="BR85" s="309">
        <f t="shared" si="72"/>
        <v>0</v>
      </c>
      <c r="BS85" s="75"/>
    </row>
    <row r="86" ht="15.75" customHeight="1">
      <c r="A86" s="80"/>
      <c r="B86" s="310"/>
      <c r="C86" s="92"/>
      <c r="D86" s="85"/>
      <c r="E86" s="93"/>
      <c r="F86" s="93"/>
      <c r="G86" s="93"/>
      <c r="H86" s="93"/>
      <c r="I86" s="93"/>
      <c r="J86" s="92"/>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75"/>
    </row>
    <row r="87" ht="15.75" customHeight="1">
      <c r="A87" s="80"/>
      <c r="B87" s="98" t="s">
        <v>312</v>
      </c>
      <c r="C87" s="98"/>
      <c r="D87" s="99"/>
      <c r="E87" s="300">
        <f t="shared" ref="E87:I87" si="73">SUMIFS($K87:$BR87,$K$2:$BR$2,E$1)</f>
        <v>-100859.9225</v>
      </c>
      <c r="F87" s="300">
        <f t="shared" si="73"/>
        <v>-17618.40899</v>
      </c>
      <c r="G87" s="300">
        <f t="shared" si="73"/>
        <v>9551.648035</v>
      </c>
      <c r="H87" s="300">
        <f t="shared" si="73"/>
        <v>21162.7282</v>
      </c>
      <c r="I87" s="300">
        <f t="shared" si="73"/>
        <v>76954.46806</v>
      </c>
      <c r="J87" s="92"/>
      <c r="K87" s="300">
        <f t="shared" ref="K87:BR87" si="74">IF(K$78&lt;=0,K$78,K$78-K$85)</f>
        <v>-12320.5499</v>
      </c>
      <c r="L87" s="300">
        <f t="shared" si="74"/>
        <v>-11110.50737</v>
      </c>
      <c r="M87" s="300">
        <f t="shared" si="74"/>
        <v>-10498.21267</v>
      </c>
      <c r="N87" s="300">
        <f t="shared" si="74"/>
        <v>-9885.917975</v>
      </c>
      <c r="O87" s="300">
        <f t="shared" si="74"/>
        <v>-9273.623275</v>
      </c>
      <c r="P87" s="300">
        <f t="shared" si="74"/>
        <v>-8661.328576</v>
      </c>
      <c r="Q87" s="300">
        <f t="shared" si="74"/>
        <v>-8049.033877</v>
      </c>
      <c r="R87" s="300">
        <f t="shared" si="74"/>
        <v>-7436.739178</v>
      </c>
      <c r="S87" s="300">
        <f t="shared" si="74"/>
        <v>-6824.444479</v>
      </c>
      <c r="T87" s="300">
        <f t="shared" si="74"/>
        <v>-6212.14978</v>
      </c>
      <c r="U87" s="300">
        <f t="shared" si="74"/>
        <v>-5599.855081</v>
      </c>
      <c r="V87" s="300">
        <f t="shared" si="74"/>
        <v>-4987.560382</v>
      </c>
      <c r="W87" s="300">
        <f t="shared" si="74"/>
        <v>-4159.005912</v>
      </c>
      <c r="X87" s="300">
        <f t="shared" si="74"/>
        <v>-3529.632703</v>
      </c>
      <c r="Y87" s="300">
        <f t="shared" si="74"/>
        <v>-2900.259495</v>
      </c>
      <c r="Z87" s="300">
        <f t="shared" si="74"/>
        <v>-2270.886287</v>
      </c>
      <c r="AA87" s="300">
        <f t="shared" si="74"/>
        <v>-1641.513078</v>
      </c>
      <c r="AB87" s="300">
        <f t="shared" si="74"/>
        <v>-1012.13987</v>
      </c>
      <c r="AC87" s="300">
        <f t="shared" si="74"/>
        <v>-826.319945</v>
      </c>
      <c r="AD87" s="300">
        <f t="shared" si="74"/>
        <v>-638.644562</v>
      </c>
      <c r="AE87" s="300">
        <f t="shared" si="74"/>
        <v>-449.0936201</v>
      </c>
      <c r="AF87" s="300">
        <f t="shared" si="74"/>
        <v>-257.6468008</v>
      </c>
      <c r="AG87" s="300">
        <f t="shared" si="74"/>
        <v>-64.28356552</v>
      </c>
      <c r="AH87" s="300">
        <f t="shared" si="74"/>
        <v>131.0168471</v>
      </c>
      <c r="AI87" s="300">
        <f t="shared" si="74"/>
        <v>-130.0814913</v>
      </c>
      <c r="AJ87" s="300">
        <f t="shared" si="74"/>
        <v>34.05733537</v>
      </c>
      <c r="AK87" s="300">
        <f t="shared" si="74"/>
        <v>199.4427617</v>
      </c>
      <c r="AL87" s="300">
        <f t="shared" si="74"/>
        <v>366.0851759</v>
      </c>
      <c r="AM87" s="300">
        <f t="shared" si="74"/>
        <v>533.9950529</v>
      </c>
      <c r="AN87" s="300">
        <f t="shared" si="74"/>
        <v>703.182955</v>
      </c>
      <c r="AO87" s="300">
        <f t="shared" si="74"/>
        <v>873.6595323</v>
      </c>
      <c r="AP87" s="300">
        <f t="shared" si="74"/>
        <v>1045.435524</v>
      </c>
      <c r="AQ87" s="300">
        <f t="shared" si="74"/>
        <v>1218.521758</v>
      </c>
      <c r="AR87" s="300">
        <f t="shared" si="74"/>
        <v>1392.929153</v>
      </c>
      <c r="AS87" s="300">
        <f t="shared" si="74"/>
        <v>1568.66872</v>
      </c>
      <c r="AT87" s="300">
        <f t="shared" si="74"/>
        <v>1745.751559</v>
      </c>
      <c r="AU87" s="300">
        <f t="shared" si="74"/>
        <v>941.2512748</v>
      </c>
      <c r="AV87" s="300">
        <f t="shared" si="74"/>
        <v>1087.784576</v>
      </c>
      <c r="AW87" s="300">
        <f t="shared" si="74"/>
        <v>1235.197787</v>
      </c>
      <c r="AX87" s="300">
        <f t="shared" si="74"/>
        <v>1383.496774</v>
      </c>
      <c r="AY87" s="300">
        <f t="shared" si="74"/>
        <v>1532.687441</v>
      </c>
      <c r="AZ87" s="300">
        <f t="shared" si="74"/>
        <v>1682.775734</v>
      </c>
      <c r="BA87" s="300">
        <f t="shared" si="74"/>
        <v>1833.767636</v>
      </c>
      <c r="BB87" s="300">
        <f t="shared" si="74"/>
        <v>1985.669171</v>
      </c>
      <c r="BC87" s="300">
        <f t="shared" si="74"/>
        <v>2138.486405</v>
      </c>
      <c r="BD87" s="300">
        <f t="shared" si="74"/>
        <v>2292.22544</v>
      </c>
      <c r="BE87" s="300">
        <f t="shared" si="74"/>
        <v>2446.892424</v>
      </c>
      <c r="BF87" s="300">
        <f t="shared" si="74"/>
        <v>2602.493541</v>
      </c>
      <c r="BG87" s="300">
        <f t="shared" si="74"/>
        <v>5528.952263</v>
      </c>
      <c r="BH87" s="300">
        <f t="shared" si="74"/>
        <v>5686.440373</v>
      </c>
      <c r="BI87" s="300">
        <f t="shared" si="74"/>
        <v>5844.881424</v>
      </c>
      <c r="BJ87" s="300">
        <f t="shared" si="74"/>
        <v>6004.28177</v>
      </c>
      <c r="BK87" s="300">
        <f t="shared" si="74"/>
        <v>6164.647806</v>
      </c>
      <c r="BL87" s="300">
        <f t="shared" si="74"/>
        <v>6325.985969</v>
      </c>
      <c r="BM87" s="300">
        <f t="shared" si="74"/>
        <v>6488.302741</v>
      </c>
      <c r="BN87" s="300">
        <f t="shared" si="74"/>
        <v>6651.604646</v>
      </c>
      <c r="BO87" s="300">
        <f t="shared" si="74"/>
        <v>6815.89825</v>
      </c>
      <c r="BP87" s="300">
        <f t="shared" si="74"/>
        <v>6981.190167</v>
      </c>
      <c r="BQ87" s="300">
        <f t="shared" si="74"/>
        <v>7147.48705</v>
      </c>
      <c r="BR87" s="300">
        <f t="shared" si="74"/>
        <v>7314.7956</v>
      </c>
      <c r="BS87" s="75"/>
    </row>
    <row r="88" ht="15.75" customHeight="1">
      <c r="A88" s="91"/>
      <c r="B88" s="126" t="s">
        <v>313</v>
      </c>
      <c r="C88" s="126"/>
      <c r="D88" s="284"/>
      <c r="E88" s="294">
        <f t="shared" ref="E88:I88" si="75">IFERROR(E87/E$26,0)</f>
        <v>-0.3482699406</v>
      </c>
      <c r="F88" s="294">
        <f t="shared" si="75"/>
        <v>-0.0344412578</v>
      </c>
      <c r="G88" s="294">
        <f t="shared" si="75"/>
        <v>0.01609126938</v>
      </c>
      <c r="H88" s="294">
        <f t="shared" si="75"/>
        <v>0.03262630941</v>
      </c>
      <c r="I88" s="294">
        <f t="shared" si="75"/>
        <v>0.1095473504</v>
      </c>
      <c r="J88" s="92"/>
      <c r="K88" s="294">
        <f t="shared" ref="K88:BR88" si="76">IFERROR(K87/K$26,0)</f>
        <v>-0.9351567491</v>
      </c>
      <c r="L88" s="294">
        <f t="shared" si="76"/>
        <v>-0.6696888369</v>
      </c>
      <c r="M88" s="294">
        <f t="shared" si="76"/>
        <v>-0.5737228982</v>
      </c>
      <c r="N88" s="294">
        <f t="shared" si="76"/>
        <v>-0.494141388</v>
      </c>
      <c r="O88" s="294">
        <f t="shared" si="76"/>
        <v>-0.4270783177</v>
      </c>
      <c r="P88" s="294">
        <f t="shared" si="76"/>
        <v>-0.3697952784</v>
      </c>
      <c r="Q88" s="294">
        <f t="shared" si="76"/>
        <v>-0.3202982834</v>
      </c>
      <c r="R88" s="294">
        <f t="shared" si="76"/>
        <v>-0.2771009058</v>
      </c>
      <c r="S88" s="294">
        <f t="shared" si="76"/>
        <v>-0.2390724453</v>
      </c>
      <c r="T88" s="294">
        <f t="shared" si="76"/>
        <v>-0.2053375206</v>
      </c>
      <c r="U88" s="294">
        <f t="shared" si="76"/>
        <v>-0.175207855</v>
      </c>
      <c r="V88" s="294">
        <f t="shared" si="76"/>
        <v>-0.1481348222</v>
      </c>
      <c r="W88" s="294">
        <f t="shared" si="76"/>
        <v>-0.1175627174</v>
      </c>
      <c r="X88" s="294">
        <f t="shared" si="76"/>
        <v>-0.09517743735</v>
      </c>
      <c r="Y88" s="294">
        <f t="shared" si="76"/>
        <v>-0.07476318825</v>
      </c>
      <c r="Z88" s="294">
        <f t="shared" si="76"/>
        <v>-0.05607062282</v>
      </c>
      <c r="AA88" s="294">
        <f t="shared" si="76"/>
        <v>-0.03889075054</v>
      </c>
      <c r="AB88" s="294">
        <f t="shared" si="76"/>
        <v>-0.02304709056</v>
      </c>
      <c r="AC88" s="294">
        <f t="shared" si="76"/>
        <v>-0.01861419487</v>
      </c>
      <c r="AD88" s="294">
        <f t="shared" si="76"/>
        <v>-0.01423231949</v>
      </c>
      <c r="AE88" s="294">
        <f t="shared" si="76"/>
        <v>-0.00990087999</v>
      </c>
      <c r="AF88" s="294">
        <f t="shared" si="76"/>
        <v>-0.0056192986</v>
      </c>
      <c r="AG88" s="294">
        <f t="shared" si="76"/>
        <v>-0.001387004143</v>
      </c>
      <c r="AH88" s="294">
        <f t="shared" si="76"/>
        <v>0.002796568041</v>
      </c>
      <c r="AI88" s="294">
        <f t="shared" si="76"/>
        <v>-0.002753655647</v>
      </c>
      <c r="AJ88" s="294">
        <f t="shared" si="76"/>
        <v>0.0007149911462</v>
      </c>
      <c r="AK88" s="294">
        <f t="shared" si="76"/>
        <v>0.004152447524</v>
      </c>
      <c r="AL88" s="294">
        <f t="shared" si="76"/>
        <v>0.007558992118</v>
      </c>
      <c r="AM88" s="294">
        <f t="shared" si="76"/>
        <v>0.01093490108</v>
      </c>
      <c r="AN88" s="294">
        <f t="shared" si="76"/>
        <v>0.01428044812</v>
      </c>
      <c r="AO88" s="294">
        <f t="shared" si="76"/>
        <v>0.01759590451</v>
      </c>
      <c r="AP88" s="294">
        <f t="shared" si="76"/>
        <v>0.02088153909</v>
      </c>
      <c r="AQ88" s="294">
        <f t="shared" si="76"/>
        <v>0.02413761836</v>
      </c>
      <c r="AR88" s="294">
        <f t="shared" si="76"/>
        <v>0.02736440641</v>
      </c>
      <c r="AS88" s="294">
        <f t="shared" si="76"/>
        <v>0.030562165</v>
      </c>
      <c r="AT88" s="294">
        <f t="shared" si="76"/>
        <v>0.03373115356</v>
      </c>
      <c r="AU88" s="294">
        <f t="shared" si="76"/>
        <v>0.01806627615</v>
      </c>
      <c r="AV88" s="294">
        <f t="shared" si="76"/>
        <v>0.02074055031</v>
      </c>
      <c r="AW88" s="294">
        <f t="shared" si="76"/>
        <v>0.02339527721</v>
      </c>
      <c r="AX88" s="294">
        <f t="shared" si="76"/>
        <v>0.02603059847</v>
      </c>
      <c r="AY88" s="294">
        <f t="shared" si="76"/>
        <v>0.02864665468</v>
      </c>
      <c r="AZ88" s="294">
        <f t="shared" si="76"/>
        <v>0.03124358543</v>
      </c>
      <c r="BA88" s="294">
        <f t="shared" si="76"/>
        <v>0.03382152931</v>
      </c>
      <c r="BB88" s="294">
        <f t="shared" si="76"/>
        <v>0.03638062389</v>
      </c>
      <c r="BC88" s="294">
        <f t="shared" si="76"/>
        <v>0.03892100579</v>
      </c>
      <c r="BD88" s="294">
        <f t="shared" si="76"/>
        <v>0.04144281061</v>
      </c>
      <c r="BE88" s="294">
        <f t="shared" si="76"/>
        <v>0.04394617299</v>
      </c>
      <c r="BF88" s="294">
        <f t="shared" si="76"/>
        <v>0.04643122659</v>
      </c>
      <c r="BG88" s="294">
        <f t="shared" si="76"/>
        <v>0.09798907283</v>
      </c>
      <c r="BH88" s="294">
        <f t="shared" si="76"/>
        <v>0.1001128003</v>
      </c>
      <c r="BI88" s="294">
        <f t="shared" si="76"/>
        <v>0.1022207673</v>
      </c>
      <c r="BJ88" s="294">
        <f t="shared" si="76"/>
        <v>0.1043130895</v>
      </c>
      <c r="BK88" s="294">
        <f t="shared" si="76"/>
        <v>0.1063898815</v>
      </c>
      <c r="BL88" s="294">
        <f t="shared" si="76"/>
        <v>0.1084512573</v>
      </c>
      <c r="BM88" s="294">
        <f t="shared" si="76"/>
        <v>0.1104973301</v>
      </c>
      <c r="BN88" s="294">
        <f t="shared" si="76"/>
        <v>0.1125282121</v>
      </c>
      <c r="BO88" s="294">
        <f t="shared" si="76"/>
        <v>0.1145440147</v>
      </c>
      <c r="BP88" s="294">
        <f t="shared" si="76"/>
        <v>0.1165448487</v>
      </c>
      <c r="BQ88" s="294">
        <f t="shared" si="76"/>
        <v>0.1185308238</v>
      </c>
      <c r="BR88" s="294">
        <f t="shared" si="76"/>
        <v>0.1205020492</v>
      </c>
      <c r="BS88" s="126"/>
    </row>
    <row r="89" ht="15.75" customHeight="1">
      <c r="A89" s="106"/>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row>
    <row r="90" ht="15.75" customHeight="1">
      <c r="A90" s="80"/>
      <c r="B90" s="136" t="s">
        <v>61</v>
      </c>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282"/>
    </row>
    <row r="91" ht="15.75" customHeight="1">
      <c r="A91" s="106"/>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row>
    <row r="92" ht="15.75" customHeight="1">
      <c r="A92" s="106"/>
      <c r="B92" s="297" t="s">
        <v>314</v>
      </c>
      <c r="C92" s="75"/>
      <c r="D92" s="82"/>
      <c r="E92" s="123">
        <f t="shared" ref="E92:I92" si="77">INDEX($K92:$BR92,,MATCH(E$1,$K$2:$BR$2,0)+11)</f>
        <v>12088.4427</v>
      </c>
      <c r="F92" s="123">
        <f t="shared" si="77"/>
        <v>6064.801389</v>
      </c>
      <c r="G92" s="123">
        <f t="shared" si="77"/>
        <v>35316.95947</v>
      </c>
      <c r="H92" s="123">
        <f t="shared" si="77"/>
        <v>76777.85379</v>
      </c>
      <c r="I92" s="123">
        <f t="shared" si="77"/>
        <v>129224.9691</v>
      </c>
      <c r="J92" s="75"/>
      <c r="K92" s="123">
        <f t="shared" ref="K92:BR92" si="78">K$144</f>
        <v>98240.2914</v>
      </c>
      <c r="L92" s="123">
        <f t="shared" si="78"/>
        <v>85290.70267</v>
      </c>
      <c r="M92" s="123">
        <f t="shared" si="78"/>
        <v>75696.81171</v>
      </c>
      <c r="N92" s="123">
        <f t="shared" si="78"/>
        <v>65534.67334</v>
      </c>
      <c r="O92" s="123">
        <f t="shared" si="78"/>
        <v>57275.55571</v>
      </c>
      <c r="P92" s="123">
        <f t="shared" si="78"/>
        <v>48983.36975</v>
      </c>
      <c r="Q92" s="123">
        <f t="shared" si="78"/>
        <v>38697.8534</v>
      </c>
      <c r="R92" s="123">
        <f t="shared" si="78"/>
        <v>34235.88194</v>
      </c>
      <c r="S92" s="123">
        <f t="shared" si="78"/>
        <v>26859.75723</v>
      </c>
      <c r="T92" s="123">
        <f t="shared" si="78"/>
        <v>21937.57292</v>
      </c>
      <c r="U92" s="123">
        <f t="shared" si="78"/>
        <v>15675.85368</v>
      </c>
      <c r="V92" s="123">
        <f t="shared" si="78"/>
        <v>12088.4427</v>
      </c>
      <c r="W92" s="123">
        <f t="shared" si="78"/>
        <v>8298.57941</v>
      </c>
      <c r="X92" s="123">
        <f t="shared" si="78"/>
        <v>3941.806652</v>
      </c>
      <c r="Y92" s="123">
        <f t="shared" si="78"/>
        <v>2606.972454</v>
      </c>
      <c r="Z92" s="123">
        <f t="shared" si="78"/>
        <v>-601.2378181</v>
      </c>
      <c r="AA92" s="123">
        <f t="shared" si="78"/>
        <v>-567.1416684</v>
      </c>
      <c r="AB92" s="123">
        <f t="shared" si="78"/>
        <v>-1210.138917</v>
      </c>
      <c r="AC92" s="123">
        <f t="shared" si="78"/>
        <v>-5063.183245</v>
      </c>
      <c r="AD92" s="123">
        <f t="shared" si="78"/>
        <v>472.0975615</v>
      </c>
      <c r="AE92" s="123">
        <f t="shared" si="78"/>
        <v>125.7839606</v>
      </c>
      <c r="AF92" s="123">
        <f t="shared" si="78"/>
        <v>2892.142701</v>
      </c>
      <c r="AG92" s="123">
        <f t="shared" si="78"/>
        <v>2888.391049</v>
      </c>
      <c r="AH92" s="123">
        <f t="shared" si="78"/>
        <v>6064.801389</v>
      </c>
      <c r="AI92" s="123">
        <f t="shared" si="78"/>
        <v>7594.454339</v>
      </c>
      <c r="AJ92" s="123">
        <f t="shared" si="78"/>
        <v>7748.503306</v>
      </c>
      <c r="AK92" s="123">
        <f t="shared" si="78"/>
        <v>11137.83543</v>
      </c>
      <c r="AL92" s="123">
        <f t="shared" si="78"/>
        <v>11591.74216</v>
      </c>
      <c r="AM92" s="123">
        <f t="shared" si="78"/>
        <v>15334.83464</v>
      </c>
      <c r="AN92" s="123">
        <f t="shared" si="78"/>
        <v>17681.54868</v>
      </c>
      <c r="AO92" s="123">
        <f t="shared" si="78"/>
        <v>15047.24089</v>
      </c>
      <c r="AP92" s="123">
        <f t="shared" si="78"/>
        <v>22877.7118</v>
      </c>
      <c r="AQ92" s="123">
        <f t="shared" si="78"/>
        <v>24101.25464</v>
      </c>
      <c r="AR92" s="123">
        <f t="shared" si="78"/>
        <v>28752.7196</v>
      </c>
      <c r="AS92" s="123">
        <f t="shared" si="78"/>
        <v>30292.31516</v>
      </c>
      <c r="AT92" s="123">
        <f t="shared" si="78"/>
        <v>35316.95947</v>
      </c>
      <c r="AU92" s="123">
        <f t="shared" si="78"/>
        <v>37962.39753</v>
      </c>
      <c r="AV92" s="123">
        <f t="shared" si="78"/>
        <v>39060.26917</v>
      </c>
      <c r="AW92" s="123">
        <f t="shared" si="78"/>
        <v>43686.97843</v>
      </c>
      <c r="AX92" s="123">
        <f t="shared" si="78"/>
        <v>45053.37728</v>
      </c>
      <c r="AY92" s="123">
        <f t="shared" si="78"/>
        <v>49995.62715</v>
      </c>
      <c r="AZ92" s="123">
        <f t="shared" si="78"/>
        <v>53371.17175</v>
      </c>
      <c r="BA92" s="123">
        <f t="shared" si="78"/>
        <v>53276.76178</v>
      </c>
      <c r="BB92" s="123">
        <f t="shared" si="78"/>
        <v>60569.14239</v>
      </c>
      <c r="BC92" s="123">
        <f t="shared" si="78"/>
        <v>62620.96667</v>
      </c>
      <c r="BD92" s="123">
        <f t="shared" si="78"/>
        <v>68368.94549</v>
      </c>
      <c r="BE92" s="123">
        <f t="shared" si="78"/>
        <v>70700.6965</v>
      </c>
      <c r="BF92" s="123">
        <f t="shared" si="78"/>
        <v>76777.85379</v>
      </c>
      <c r="BG92" s="123">
        <f t="shared" si="78"/>
        <v>80278.25145</v>
      </c>
      <c r="BH92" s="123">
        <f t="shared" si="78"/>
        <v>82101.42806</v>
      </c>
      <c r="BI92" s="123">
        <f t="shared" si="78"/>
        <v>87745.12668</v>
      </c>
      <c r="BJ92" s="123">
        <f t="shared" si="78"/>
        <v>89856.70335</v>
      </c>
      <c r="BK92" s="123">
        <f t="shared" si="78"/>
        <v>95839.71753</v>
      </c>
      <c r="BL92" s="123">
        <f t="shared" si="78"/>
        <v>100124.7833</v>
      </c>
      <c r="BM92" s="123">
        <f t="shared" si="78"/>
        <v>98481.25805</v>
      </c>
      <c r="BN92" s="123">
        <f t="shared" si="78"/>
        <v>109175.265</v>
      </c>
      <c r="BO92" s="123">
        <f t="shared" si="78"/>
        <v>112023.1202</v>
      </c>
      <c r="BP92" s="123">
        <f t="shared" si="78"/>
        <v>118872.7015</v>
      </c>
      <c r="BQ92" s="123">
        <f t="shared" si="78"/>
        <v>122021.3024</v>
      </c>
      <c r="BR92" s="123">
        <f t="shared" si="78"/>
        <v>129224.9691</v>
      </c>
      <c r="BS92" s="75"/>
    </row>
    <row r="93" ht="13.5" customHeight="1">
      <c r="A93" s="106"/>
      <c r="B93" s="81" t="s">
        <v>315</v>
      </c>
      <c r="C93" s="119"/>
      <c r="D93" s="82"/>
      <c r="E93" s="123">
        <f t="shared" ref="E93:I93" si="79">INDEX($K93:$BR93,,MATCH(E$1,$K$2:$BR$2,0)+11)</f>
        <v>32582.96237</v>
      </c>
      <c r="F93" s="123">
        <f t="shared" si="79"/>
        <v>45337.89104</v>
      </c>
      <c r="G93" s="123">
        <f t="shared" si="79"/>
        <v>50085.36068</v>
      </c>
      <c r="H93" s="123">
        <f t="shared" si="79"/>
        <v>54242.42092</v>
      </c>
      <c r="I93" s="123">
        <f t="shared" si="79"/>
        <v>58744.5151</v>
      </c>
      <c r="J93" s="123"/>
      <c r="K93" s="123">
        <f t="shared" ref="K93:BR93" si="80">K166</f>
        <v>12749.85484</v>
      </c>
      <c r="L93" s="123">
        <f t="shared" si="80"/>
        <v>16590.55185</v>
      </c>
      <c r="M93" s="123">
        <f t="shared" si="80"/>
        <v>17708.13172</v>
      </c>
      <c r="N93" s="123">
        <f t="shared" si="80"/>
        <v>20006.2537</v>
      </c>
      <c r="O93" s="123">
        <f t="shared" si="80"/>
        <v>21013.64964</v>
      </c>
      <c r="P93" s="123">
        <f t="shared" si="80"/>
        <v>22666.4086</v>
      </c>
      <c r="Q93" s="123">
        <f t="shared" si="80"/>
        <v>26924.79266</v>
      </c>
      <c r="R93" s="123">
        <f t="shared" si="80"/>
        <v>25971.92652</v>
      </c>
      <c r="S93" s="123">
        <f t="shared" si="80"/>
        <v>28545.50833</v>
      </c>
      <c r="T93" s="123">
        <f t="shared" si="80"/>
        <v>29277.44444</v>
      </c>
      <c r="U93" s="123">
        <f t="shared" si="80"/>
        <v>31961.21019</v>
      </c>
      <c r="V93" s="123">
        <f t="shared" si="80"/>
        <v>32582.96237</v>
      </c>
      <c r="W93" s="123">
        <f t="shared" si="80"/>
        <v>34235.72133</v>
      </c>
      <c r="X93" s="123">
        <f t="shared" si="80"/>
        <v>37084.76296</v>
      </c>
      <c r="Y93" s="123">
        <f t="shared" si="80"/>
        <v>37541.23925</v>
      </c>
      <c r="Z93" s="123">
        <f t="shared" si="80"/>
        <v>40500.46481</v>
      </c>
      <c r="AA93" s="123">
        <f t="shared" si="80"/>
        <v>40846.75717</v>
      </c>
      <c r="AB93" s="123">
        <f t="shared" si="80"/>
        <v>42499.51613</v>
      </c>
      <c r="AC93" s="123">
        <f t="shared" si="80"/>
        <v>47562.77693</v>
      </c>
      <c r="AD93" s="123">
        <f t="shared" si="80"/>
        <v>43425.32677</v>
      </c>
      <c r="AE93" s="123">
        <f t="shared" si="80"/>
        <v>45358.96007</v>
      </c>
      <c r="AF93" s="123">
        <f t="shared" si="80"/>
        <v>44371.30529</v>
      </c>
      <c r="AG93" s="123">
        <f t="shared" si="80"/>
        <v>46347.06092</v>
      </c>
      <c r="AH93" s="123">
        <f t="shared" si="80"/>
        <v>45337.89104</v>
      </c>
      <c r="AI93" s="123">
        <f t="shared" si="80"/>
        <v>45715.7068</v>
      </c>
      <c r="AJ93" s="123">
        <f t="shared" si="80"/>
        <v>47633.22672</v>
      </c>
      <c r="AK93" s="123">
        <f t="shared" si="80"/>
        <v>46480.80995</v>
      </c>
      <c r="AL93" s="123">
        <f t="shared" si="80"/>
        <v>48430.4217</v>
      </c>
      <c r="AM93" s="123">
        <f t="shared" si="80"/>
        <v>47258.71795</v>
      </c>
      <c r="AN93" s="123">
        <f t="shared" si="80"/>
        <v>47652.5406</v>
      </c>
      <c r="AO93" s="123">
        <f t="shared" si="80"/>
        <v>53197.82136</v>
      </c>
      <c r="AP93" s="123">
        <f t="shared" si="80"/>
        <v>48450.05881</v>
      </c>
      <c r="AQ93" s="123">
        <f t="shared" si="80"/>
        <v>50482.26961</v>
      </c>
      <c r="AR93" s="123">
        <f t="shared" si="80"/>
        <v>49260.92438</v>
      </c>
      <c r="AS93" s="123">
        <f t="shared" si="80"/>
        <v>51327.14648</v>
      </c>
      <c r="AT93" s="123">
        <f t="shared" si="80"/>
        <v>50085.36068</v>
      </c>
      <c r="AU93" s="123">
        <f t="shared" si="80"/>
        <v>50419.26309</v>
      </c>
      <c r="AV93" s="123">
        <f t="shared" si="80"/>
        <v>52447.23789</v>
      </c>
      <c r="AW93" s="123">
        <f t="shared" si="80"/>
        <v>51093.76078</v>
      </c>
      <c r="AX93" s="123">
        <f t="shared" si="80"/>
        <v>53148.86539</v>
      </c>
      <c r="AY93" s="123">
        <f t="shared" si="80"/>
        <v>51777.28176</v>
      </c>
      <c r="AZ93" s="123">
        <f t="shared" si="80"/>
        <v>52122.46364</v>
      </c>
      <c r="BA93" s="123">
        <f t="shared" si="80"/>
        <v>56088.56375</v>
      </c>
      <c r="BB93" s="123">
        <f t="shared" si="80"/>
        <v>52819.74638</v>
      </c>
      <c r="BC93" s="123">
        <f t="shared" si="80"/>
        <v>54944.27395</v>
      </c>
      <c r="BD93" s="123">
        <f t="shared" si="80"/>
        <v>53526.35721</v>
      </c>
      <c r="BE93" s="123">
        <f t="shared" si="80"/>
        <v>55679.30624</v>
      </c>
      <c r="BF93" s="123">
        <f t="shared" si="80"/>
        <v>54242.42092</v>
      </c>
      <c r="BG93" s="123">
        <f t="shared" si="80"/>
        <v>54604.03706</v>
      </c>
      <c r="BH93" s="123">
        <f t="shared" si="80"/>
        <v>56800.33277</v>
      </c>
      <c r="BI93" s="123">
        <f t="shared" si="80"/>
        <v>55334.51773</v>
      </c>
      <c r="BJ93" s="123">
        <f t="shared" si="80"/>
        <v>57560.195</v>
      </c>
      <c r="BK93" s="123">
        <f t="shared" si="80"/>
        <v>56074.77061</v>
      </c>
      <c r="BL93" s="123">
        <f t="shared" si="80"/>
        <v>56448.60242</v>
      </c>
      <c r="BM93" s="123">
        <f t="shared" si="80"/>
        <v>62913.31141</v>
      </c>
      <c r="BN93" s="123">
        <f t="shared" si="80"/>
        <v>57203.75928</v>
      </c>
      <c r="BO93" s="123">
        <f t="shared" si="80"/>
        <v>59504.62159</v>
      </c>
      <c r="BP93" s="123">
        <f t="shared" si="80"/>
        <v>57969.01846</v>
      </c>
      <c r="BQ93" s="123">
        <f t="shared" si="80"/>
        <v>60300.6612</v>
      </c>
      <c r="BR93" s="123">
        <f t="shared" si="80"/>
        <v>58744.5151</v>
      </c>
      <c r="BS93" s="92"/>
    </row>
    <row r="94" ht="13.5" customHeight="1">
      <c r="A94" s="106"/>
      <c r="B94" s="81" t="s">
        <v>316</v>
      </c>
      <c r="C94" s="119"/>
      <c r="D94" s="82"/>
      <c r="E94" s="123">
        <f t="shared" ref="E94:I94" si="81">INDEX($K94:$BR94,,MATCH(E$1,$K$2:$BR$2,0)+11)</f>
        <v>21253.0183</v>
      </c>
      <c r="F94" s="123">
        <f t="shared" si="81"/>
        <v>29572.7263</v>
      </c>
      <c r="G94" s="123">
        <f t="shared" si="81"/>
        <v>32669.37718</v>
      </c>
      <c r="H94" s="123">
        <f t="shared" si="81"/>
        <v>35380.91938</v>
      </c>
      <c r="I94" s="123">
        <f t="shared" si="81"/>
        <v>38317.51823</v>
      </c>
      <c r="J94" s="123"/>
      <c r="K94" s="123">
        <f t="shared" ref="K94:BR94" si="82">K185</f>
        <v>8316.398466</v>
      </c>
      <c r="L94" s="123">
        <f t="shared" si="82"/>
        <v>10472.50177</v>
      </c>
      <c r="M94" s="123">
        <f t="shared" si="82"/>
        <v>11550.55342</v>
      </c>
      <c r="N94" s="123">
        <f t="shared" si="82"/>
        <v>12628.60508</v>
      </c>
      <c r="O94" s="123">
        <f t="shared" si="82"/>
        <v>13706.65673</v>
      </c>
      <c r="P94" s="123">
        <f t="shared" si="82"/>
        <v>14784.70838</v>
      </c>
      <c r="Q94" s="123">
        <f t="shared" si="82"/>
        <v>15862.76004</v>
      </c>
      <c r="R94" s="123">
        <f t="shared" si="82"/>
        <v>16940.81169</v>
      </c>
      <c r="S94" s="123">
        <f t="shared" si="82"/>
        <v>18018.86334</v>
      </c>
      <c r="T94" s="123">
        <f t="shared" si="82"/>
        <v>19096.915</v>
      </c>
      <c r="U94" s="123">
        <f t="shared" si="82"/>
        <v>20174.96665</v>
      </c>
      <c r="V94" s="123">
        <f t="shared" si="82"/>
        <v>21253.0183</v>
      </c>
      <c r="W94" s="123">
        <f t="shared" si="82"/>
        <v>22331.06995</v>
      </c>
      <c r="X94" s="123">
        <f t="shared" si="82"/>
        <v>23409.12161</v>
      </c>
      <c r="Y94" s="123">
        <f t="shared" si="82"/>
        <v>24487.17326</v>
      </c>
      <c r="Z94" s="123">
        <f t="shared" si="82"/>
        <v>25565.22491</v>
      </c>
      <c r="AA94" s="123">
        <f t="shared" si="82"/>
        <v>26643.27657</v>
      </c>
      <c r="AB94" s="123">
        <f t="shared" si="82"/>
        <v>27721.32822</v>
      </c>
      <c r="AC94" s="123">
        <f t="shared" si="82"/>
        <v>28021.64261</v>
      </c>
      <c r="AD94" s="123">
        <f t="shared" si="82"/>
        <v>28325.2104</v>
      </c>
      <c r="AE94" s="123">
        <f t="shared" si="82"/>
        <v>28632.06685</v>
      </c>
      <c r="AF94" s="123">
        <f t="shared" si="82"/>
        <v>28942.24757</v>
      </c>
      <c r="AG94" s="123">
        <f t="shared" si="82"/>
        <v>29255.78859</v>
      </c>
      <c r="AH94" s="123">
        <f t="shared" si="82"/>
        <v>29572.7263</v>
      </c>
      <c r="AI94" s="123">
        <f t="shared" si="82"/>
        <v>29819.16568</v>
      </c>
      <c r="AJ94" s="123">
        <f t="shared" si="82"/>
        <v>30067.65873</v>
      </c>
      <c r="AK94" s="123">
        <f t="shared" si="82"/>
        <v>30318.22255</v>
      </c>
      <c r="AL94" s="123">
        <f t="shared" si="82"/>
        <v>30570.87441</v>
      </c>
      <c r="AM94" s="123">
        <f t="shared" si="82"/>
        <v>30825.6317</v>
      </c>
      <c r="AN94" s="123">
        <f t="shared" si="82"/>
        <v>31082.51196</v>
      </c>
      <c r="AO94" s="123">
        <f t="shared" si="82"/>
        <v>31341.53289</v>
      </c>
      <c r="AP94" s="123">
        <f t="shared" si="82"/>
        <v>31602.71233</v>
      </c>
      <c r="AQ94" s="123">
        <f t="shared" si="82"/>
        <v>31866.06827</v>
      </c>
      <c r="AR94" s="123">
        <f t="shared" si="82"/>
        <v>32131.61884</v>
      </c>
      <c r="AS94" s="123">
        <f t="shared" si="82"/>
        <v>32399.38233</v>
      </c>
      <c r="AT94" s="123">
        <f t="shared" si="82"/>
        <v>32669.37718</v>
      </c>
      <c r="AU94" s="123">
        <f t="shared" si="82"/>
        <v>32887.17303</v>
      </c>
      <c r="AV94" s="123">
        <f t="shared" si="82"/>
        <v>33106.42085</v>
      </c>
      <c r="AW94" s="123">
        <f t="shared" si="82"/>
        <v>33327.13032</v>
      </c>
      <c r="AX94" s="123">
        <f t="shared" si="82"/>
        <v>33549.31119</v>
      </c>
      <c r="AY94" s="123">
        <f t="shared" si="82"/>
        <v>33772.97327</v>
      </c>
      <c r="AZ94" s="123">
        <f t="shared" si="82"/>
        <v>33998.12642</v>
      </c>
      <c r="BA94" s="123">
        <f t="shared" si="82"/>
        <v>34224.7806</v>
      </c>
      <c r="BB94" s="123">
        <f t="shared" si="82"/>
        <v>34452.9458</v>
      </c>
      <c r="BC94" s="123">
        <f t="shared" si="82"/>
        <v>34682.63211</v>
      </c>
      <c r="BD94" s="123">
        <f t="shared" si="82"/>
        <v>34913.84965</v>
      </c>
      <c r="BE94" s="123">
        <f t="shared" si="82"/>
        <v>35146.60865</v>
      </c>
      <c r="BF94" s="123">
        <f t="shared" si="82"/>
        <v>35380.91938</v>
      </c>
      <c r="BG94" s="123">
        <f t="shared" si="82"/>
        <v>35616.79217</v>
      </c>
      <c r="BH94" s="123">
        <f t="shared" si="82"/>
        <v>35854.23745</v>
      </c>
      <c r="BI94" s="123">
        <f t="shared" si="82"/>
        <v>36093.2657</v>
      </c>
      <c r="BJ94" s="123">
        <f t="shared" si="82"/>
        <v>36333.88747</v>
      </c>
      <c r="BK94" s="123">
        <f t="shared" si="82"/>
        <v>36576.11339</v>
      </c>
      <c r="BL94" s="123">
        <f t="shared" si="82"/>
        <v>36819.95415</v>
      </c>
      <c r="BM94" s="123">
        <f t="shared" si="82"/>
        <v>37065.42051</v>
      </c>
      <c r="BN94" s="123">
        <f t="shared" si="82"/>
        <v>37312.52331</v>
      </c>
      <c r="BO94" s="123">
        <f t="shared" si="82"/>
        <v>37561.27347</v>
      </c>
      <c r="BP94" s="123">
        <f t="shared" si="82"/>
        <v>37811.68196</v>
      </c>
      <c r="BQ94" s="123">
        <f t="shared" si="82"/>
        <v>38063.75984</v>
      </c>
      <c r="BR94" s="123">
        <f t="shared" si="82"/>
        <v>38317.51823</v>
      </c>
      <c r="BS94" s="92"/>
    </row>
    <row r="95" ht="15.75" customHeight="1">
      <c r="A95" s="80"/>
      <c r="B95" s="298" t="s">
        <v>317</v>
      </c>
      <c r="C95" s="131"/>
      <c r="D95" s="102"/>
      <c r="E95" s="132">
        <f t="shared" ref="E95:I95" si="83">INDEX($K95:$BR95,,MATCH(E$1,$K$2:$BR$2,0)+11)</f>
        <v>65924.42337</v>
      </c>
      <c r="F95" s="132">
        <f t="shared" si="83"/>
        <v>80975.41873</v>
      </c>
      <c r="G95" s="132">
        <f t="shared" si="83"/>
        <v>118071.6973</v>
      </c>
      <c r="H95" s="132">
        <f t="shared" si="83"/>
        <v>166401.1941</v>
      </c>
      <c r="I95" s="132">
        <f t="shared" si="83"/>
        <v>226287.0024</v>
      </c>
      <c r="J95" s="92"/>
      <c r="K95" s="132">
        <f t="shared" ref="K95:BR95" si="84">SUM(K92:K94)</f>
        <v>119306.5447</v>
      </c>
      <c r="L95" s="132">
        <f t="shared" si="84"/>
        <v>112353.7563</v>
      </c>
      <c r="M95" s="132">
        <f t="shared" si="84"/>
        <v>104955.4969</v>
      </c>
      <c r="N95" s="132">
        <f t="shared" si="84"/>
        <v>98169.53212</v>
      </c>
      <c r="O95" s="132">
        <f t="shared" si="84"/>
        <v>91995.86208</v>
      </c>
      <c r="P95" s="132">
        <f t="shared" si="84"/>
        <v>86434.48674</v>
      </c>
      <c r="Q95" s="132">
        <f t="shared" si="84"/>
        <v>81485.40609</v>
      </c>
      <c r="R95" s="132">
        <f t="shared" si="84"/>
        <v>77148.62015</v>
      </c>
      <c r="S95" s="132">
        <f t="shared" si="84"/>
        <v>73424.12891</v>
      </c>
      <c r="T95" s="132">
        <f t="shared" si="84"/>
        <v>70311.93236</v>
      </c>
      <c r="U95" s="132">
        <f t="shared" si="84"/>
        <v>67812.03051</v>
      </c>
      <c r="V95" s="132">
        <f t="shared" si="84"/>
        <v>65924.42337</v>
      </c>
      <c r="W95" s="132">
        <f t="shared" si="84"/>
        <v>64865.37069</v>
      </c>
      <c r="X95" s="132">
        <f t="shared" si="84"/>
        <v>64435.69122</v>
      </c>
      <c r="Y95" s="132">
        <f t="shared" si="84"/>
        <v>64635.38496</v>
      </c>
      <c r="Z95" s="132">
        <f t="shared" si="84"/>
        <v>65464.45191</v>
      </c>
      <c r="AA95" s="132">
        <f t="shared" si="84"/>
        <v>66922.89207</v>
      </c>
      <c r="AB95" s="132">
        <f t="shared" si="84"/>
        <v>69010.70543</v>
      </c>
      <c r="AC95" s="132">
        <f t="shared" si="84"/>
        <v>70521.2363</v>
      </c>
      <c r="AD95" s="132">
        <f t="shared" si="84"/>
        <v>72222.63473</v>
      </c>
      <c r="AE95" s="132">
        <f t="shared" si="84"/>
        <v>74116.81088</v>
      </c>
      <c r="AF95" s="132">
        <f t="shared" si="84"/>
        <v>76205.69557</v>
      </c>
      <c r="AG95" s="132">
        <f t="shared" si="84"/>
        <v>78491.24055</v>
      </c>
      <c r="AH95" s="132">
        <f t="shared" si="84"/>
        <v>80975.41873</v>
      </c>
      <c r="AI95" s="132">
        <f t="shared" si="84"/>
        <v>83129.32682</v>
      </c>
      <c r="AJ95" s="132">
        <f t="shared" si="84"/>
        <v>85449.38876</v>
      </c>
      <c r="AK95" s="132">
        <f t="shared" si="84"/>
        <v>87936.86793</v>
      </c>
      <c r="AL95" s="132">
        <f t="shared" si="84"/>
        <v>90593.03826</v>
      </c>
      <c r="AM95" s="132">
        <f t="shared" si="84"/>
        <v>93419.18428</v>
      </c>
      <c r="AN95" s="132">
        <f t="shared" si="84"/>
        <v>96416.60123</v>
      </c>
      <c r="AO95" s="132">
        <f t="shared" si="84"/>
        <v>99586.59515</v>
      </c>
      <c r="AP95" s="132">
        <f t="shared" si="84"/>
        <v>102930.4829</v>
      </c>
      <c r="AQ95" s="132">
        <f t="shared" si="84"/>
        <v>106449.5925</v>
      </c>
      <c r="AR95" s="132">
        <f t="shared" si="84"/>
        <v>110145.2628</v>
      </c>
      <c r="AS95" s="132">
        <f t="shared" si="84"/>
        <v>114018.844</v>
      </c>
      <c r="AT95" s="132">
        <f t="shared" si="84"/>
        <v>118071.6973</v>
      </c>
      <c r="AU95" s="132">
        <f t="shared" si="84"/>
        <v>121268.8336</v>
      </c>
      <c r="AV95" s="132">
        <f t="shared" si="84"/>
        <v>124613.9279</v>
      </c>
      <c r="AW95" s="132">
        <f t="shared" si="84"/>
        <v>128107.8695</v>
      </c>
      <c r="AX95" s="132">
        <f t="shared" si="84"/>
        <v>131751.5539</v>
      </c>
      <c r="AY95" s="132">
        <f t="shared" si="84"/>
        <v>135545.8822</v>
      </c>
      <c r="AZ95" s="132">
        <f t="shared" si="84"/>
        <v>139491.7618</v>
      </c>
      <c r="BA95" s="132">
        <f t="shared" si="84"/>
        <v>143590.1061</v>
      </c>
      <c r="BB95" s="132">
        <f t="shared" si="84"/>
        <v>147841.8346</v>
      </c>
      <c r="BC95" s="132">
        <f t="shared" si="84"/>
        <v>152247.8727</v>
      </c>
      <c r="BD95" s="132">
        <f t="shared" si="84"/>
        <v>156809.1523</v>
      </c>
      <c r="BE95" s="132">
        <f t="shared" si="84"/>
        <v>161526.6114</v>
      </c>
      <c r="BF95" s="132">
        <f t="shared" si="84"/>
        <v>166401.1941</v>
      </c>
      <c r="BG95" s="132">
        <f t="shared" si="84"/>
        <v>170499.0807</v>
      </c>
      <c r="BH95" s="132">
        <f t="shared" si="84"/>
        <v>174755.9983</v>
      </c>
      <c r="BI95" s="132">
        <f t="shared" si="84"/>
        <v>179172.9101</v>
      </c>
      <c r="BJ95" s="132">
        <f t="shared" si="84"/>
        <v>183750.7858</v>
      </c>
      <c r="BK95" s="132">
        <f t="shared" si="84"/>
        <v>188490.6015</v>
      </c>
      <c r="BL95" s="132">
        <f t="shared" si="84"/>
        <v>193393.3399</v>
      </c>
      <c r="BM95" s="132">
        <f t="shared" si="84"/>
        <v>198459.99</v>
      </c>
      <c r="BN95" s="132">
        <f t="shared" si="84"/>
        <v>203691.5476</v>
      </c>
      <c r="BO95" s="132">
        <f t="shared" si="84"/>
        <v>209089.0153</v>
      </c>
      <c r="BP95" s="132">
        <f t="shared" si="84"/>
        <v>214653.4019</v>
      </c>
      <c r="BQ95" s="132">
        <f t="shared" si="84"/>
        <v>220385.7234</v>
      </c>
      <c r="BR95" s="132">
        <f t="shared" si="84"/>
        <v>226287.0024</v>
      </c>
      <c r="BS95" s="75"/>
    </row>
    <row r="96" ht="13.5" customHeight="1">
      <c r="A96" s="106"/>
      <c r="B96" s="310"/>
      <c r="C96" s="119"/>
      <c r="D96" s="85"/>
      <c r="E96" s="93"/>
      <c r="F96" s="93"/>
      <c r="G96" s="93"/>
      <c r="H96" s="93"/>
      <c r="I96" s="93"/>
      <c r="J96" s="12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2"/>
    </row>
    <row r="97" ht="13.5" customHeight="1">
      <c r="A97" s="106"/>
      <c r="B97" s="81" t="s">
        <v>318</v>
      </c>
      <c r="C97" s="119"/>
      <c r="D97" s="82"/>
      <c r="E97" s="123">
        <f t="shared" ref="E97:I97" si="85">INDEX($K97:$BR97,,MATCH(E$1,$K$2:$BR$2,0)+11)</f>
        <v>133368.75</v>
      </c>
      <c r="F97" s="123">
        <f t="shared" si="85"/>
        <v>88912.5</v>
      </c>
      <c r="G97" s="123">
        <f t="shared" si="85"/>
        <v>44456.25</v>
      </c>
      <c r="H97" s="123">
        <f t="shared" si="85"/>
        <v>0</v>
      </c>
      <c r="I97" s="123">
        <f t="shared" si="85"/>
        <v>0</v>
      </c>
      <c r="J97" s="123"/>
      <c r="K97" s="90">
        <f t="shared" ref="K97:BR97" si="86">K$243</f>
        <v>174120.3125</v>
      </c>
      <c r="L97" s="90">
        <f t="shared" si="86"/>
        <v>170415.625</v>
      </c>
      <c r="M97" s="90">
        <f t="shared" si="86"/>
        <v>166710.9375</v>
      </c>
      <c r="N97" s="90">
        <f t="shared" si="86"/>
        <v>163006.25</v>
      </c>
      <c r="O97" s="90">
        <f t="shared" si="86"/>
        <v>159301.5625</v>
      </c>
      <c r="P97" s="90">
        <f t="shared" si="86"/>
        <v>155596.875</v>
      </c>
      <c r="Q97" s="90">
        <f t="shared" si="86"/>
        <v>151892.1875</v>
      </c>
      <c r="R97" s="90">
        <f t="shared" si="86"/>
        <v>148187.5</v>
      </c>
      <c r="S97" s="90">
        <f t="shared" si="86"/>
        <v>144482.8125</v>
      </c>
      <c r="T97" s="90">
        <f t="shared" si="86"/>
        <v>140778.125</v>
      </c>
      <c r="U97" s="90">
        <f t="shared" si="86"/>
        <v>137073.4375</v>
      </c>
      <c r="V97" s="90">
        <f t="shared" si="86"/>
        <v>133368.75</v>
      </c>
      <c r="W97" s="90">
        <f t="shared" si="86"/>
        <v>129664.0625</v>
      </c>
      <c r="X97" s="90">
        <f t="shared" si="86"/>
        <v>125959.375</v>
      </c>
      <c r="Y97" s="90">
        <f t="shared" si="86"/>
        <v>122254.6875</v>
      </c>
      <c r="Z97" s="90">
        <f t="shared" si="86"/>
        <v>118550</v>
      </c>
      <c r="AA97" s="90">
        <f t="shared" si="86"/>
        <v>114845.3125</v>
      </c>
      <c r="AB97" s="90">
        <f t="shared" si="86"/>
        <v>111140.625</v>
      </c>
      <c r="AC97" s="90">
        <f t="shared" si="86"/>
        <v>107435.9375</v>
      </c>
      <c r="AD97" s="90">
        <f t="shared" si="86"/>
        <v>103731.25</v>
      </c>
      <c r="AE97" s="90">
        <f t="shared" si="86"/>
        <v>100026.5625</v>
      </c>
      <c r="AF97" s="90">
        <f t="shared" si="86"/>
        <v>96321.875</v>
      </c>
      <c r="AG97" s="90">
        <f t="shared" si="86"/>
        <v>92617.1875</v>
      </c>
      <c r="AH97" s="90">
        <f t="shared" si="86"/>
        <v>88912.5</v>
      </c>
      <c r="AI97" s="90">
        <f t="shared" si="86"/>
        <v>85207.8125</v>
      </c>
      <c r="AJ97" s="90">
        <f t="shared" si="86"/>
        <v>81503.125</v>
      </c>
      <c r="AK97" s="90">
        <f t="shared" si="86"/>
        <v>77798.4375</v>
      </c>
      <c r="AL97" s="90">
        <f t="shared" si="86"/>
        <v>74093.75</v>
      </c>
      <c r="AM97" s="90">
        <f t="shared" si="86"/>
        <v>70389.0625</v>
      </c>
      <c r="AN97" s="90">
        <f t="shared" si="86"/>
        <v>66684.375</v>
      </c>
      <c r="AO97" s="90">
        <f t="shared" si="86"/>
        <v>62979.6875</v>
      </c>
      <c r="AP97" s="90">
        <f t="shared" si="86"/>
        <v>59275</v>
      </c>
      <c r="AQ97" s="90">
        <f t="shared" si="86"/>
        <v>55570.3125</v>
      </c>
      <c r="AR97" s="90">
        <f t="shared" si="86"/>
        <v>51865.625</v>
      </c>
      <c r="AS97" s="90">
        <f t="shared" si="86"/>
        <v>48160.9375</v>
      </c>
      <c r="AT97" s="90">
        <f t="shared" si="86"/>
        <v>44456.25</v>
      </c>
      <c r="AU97" s="90">
        <f t="shared" si="86"/>
        <v>40751.5625</v>
      </c>
      <c r="AV97" s="90">
        <f t="shared" si="86"/>
        <v>37046.875</v>
      </c>
      <c r="AW97" s="90">
        <f t="shared" si="86"/>
        <v>33342.1875</v>
      </c>
      <c r="AX97" s="90">
        <f t="shared" si="86"/>
        <v>29637.5</v>
      </c>
      <c r="AY97" s="90">
        <f t="shared" si="86"/>
        <v>25932.8125</v>
      </c>
      <c r="AZ97" s="90">
        <f t="shared" si="86"/>
        <v>22228.125</v>
      </c>
      <c r="BA97" s="90">
        <f t="shared" si="86"/>
        <v>18523.4375</v>
      </c>
      <c r="BB97" s="90">
        <f t="shared" si="86"/>
        <v>14818.75</v>
      </c>
      <c r="BC97" s="90">
        <f t="shared" si="86"/>
        <v>11114.0625</v>
      </c>
      <c r="BD97" s="90">
        <f t="shared" si="86"/>
        <v>7409.375</v>
      </c>
      <c r="BE97" s="90">
        <f t="shared" si="86"/>
        <v>3704.6875</v>
      </c>
      <c r="BF97" s="90">
        <f t="shared" si="86"/>
        <v>0</v>
      </c>
      <c r="BG97" s="90">
        <f t="shared" si="86"/>
        <v>0</v>
      </c>
      <c r="BH97" s="90">
        <f t="shared" si="86"/>
        <v>0</v>
      </c>
      <c r="BI97" s="90">
        <f t="shared" si="86"/>
        <v>0</v>
      </c>
      <c r="BJ97" s="90">
        <f t="shared" si="86"/>
        <v>0</v>
      </c>
      <c r="BK97" s="90">
        <f t="shared" si="86"/>
        <v>0</v>
      </c>
      <c r="BL97" s="90">
        <f t="shared" si="86"/>
        <v>0</v>
      </c>
      <c r="BM97" s="90">
        <f t="shared" si="86"/>
        <v>0</v>
      </c>
      <c r="BN97" s="90">
        <f t="shared" si="86"/>
        <v>0</v>
      </c>
      <c r="BO97" s="90">
        <f t="shared" si="86"/>
        <v>0</v>
      </c>
      <c r="BP97" s="90">
        <f t="shared" si="86"/>
        <v>0</v>
      </c>
      <c r="BQ97" s="90">
        <f t="shared" si="86"/>
        <v>0</v>
      </c>
      <c r="BR97" s="90">
        <f t="shared" si="86"/>
        <v>0</v>
      </c>
      <c r="BS97" s="92"/>
    </row>
    <row r="98" ht="15.75" customHeight="1">
      <c r="A98" s="80"/>
      <c r="B98" s="298" t="s">
        <v>319</v>
      </c>
      <c r="C98" s="131"/>
      <c r="D98" s="102"/>
      <c r="E98" s="132">
        <f t="shared" ref="E98:I98" si="87">INDEX($K98:$BR98,,MATCH(E$1,$K$2:$BR$2,0)+11)</f>
        <v>133368.75</v>
      </c>
      <c r="F98" s="132">
        <f t="shared" si="87"/>
        <v>88912.5</v>
      </c>
      <c r="G98" s="132">
        <f t="shared" si="87"/>
        <v>44456.25</v>
      </c>
      <c r="H98" s="132">
        <f t="shared" si="87"/>
        <v>0</v>
      </c>
      <c r="I98" s="132">
        <f t="shared" si="87"/>
        <v>0</v>
      </c>
      <c r="J98" s="92"/>
      <c r="K98" s="132">
        <f t="shared" ref="K98:BR98" si="88">SUM(K97)</f>
        <v>174120.3125</v>
      </c>
      <c r="L98" s="132">
        <f t="shared" si="88"/>
        <v>170415.625</v>
      </c>
      <c r="M98" s="132">
        <f t="shared" si="88"/>
        <v>166710.9375</v>
      </c>
      <c r="N98" s="132">
        <f t="shared" si="88"/>
        <v>163006.25</v>
      </c>
      <c r="O98" s="132">
        <f t="shared" si="88"/>
        <v>159301.5625</v>
      </c>
      <c r="P98" s="132">
        <f t="shared" si="88"/>
        <v>155596.875</v>
      </c>
      <c r="Q98" s="132">
        <f t="shared" si="88"/>
        <v>151892.1875</v>
      </c>
      <c r="R98" s="132">
        <f t="shared" si="88"/>
        <v>148187.5</v>
      </c>
      <c r="S98" s="132">
        <f t="shared" si="88"/>
        <v>144482.8125</v>
      </c>
      <c r="T98" s="132">
        <f t="shared" si="88"/>
        <v>140778.125</v>
      </c>
      <c r="U98" s="132">
        <f t="shared" si="88"/>
        <v>137073.4375</v>
      </c>
      <c r="V98" s="132">
        <f t="shared" si="88"/>
        <v>133368.75</v>
      </c>
      <c r="W98" s="132">
        <f t="shared" si="88"/>
        <v>129664.0625</v>
      </c>
      <c r="X98" s="132">
        <f t="shared" si="88"/>
        <v>125959.375</v>
      </c>
      <c r="Y98" s="132">
        <f t="shared" si="88"/>
        <v>122254.6875</v>
      </c>
      <c r="Z98" s="132">
        <f t="shared" si="88"/>
        <v>118550</v>
      </c>
      <c r="AA98" s="132">
        <f t="shared" si="88"/>
        <v>114845.3125</v>
      </c>
      <c r="AB98" s="132">
        <f t="shared" si="88"/>
        <v>111140.625</v>
      </c>
      <c r="AC98" s="132">
        <f t="shared" si="88"/>
        <v>107435.9375</v>
      </c>
      <c r="AD98" s="132">
        <f t="shared" si="88"/>
        <v>103731.25</v>
      </c>
      <c r="AE98" s="132">
        <f t="shared" si="88"/>
        <v>100026.5625</v>
      </c>
      <c r="AF98" s="132">
        <f t="shared" si="88"/>
        <v>96321.875</v>
      </c>
      <c r="AG98" s="132">
        <f t="shared" si="88"/>
        <v>92617.1875</v>
      </c>
      <c r="AH98" s="132">
        <f t="shared" si="88"/>
        <v>88912.5</v>
      </c>
      <c r="AI98" s="132">
        <f t="shared" si="88"/>
        <v>85207.8125</v>
      </c>
      <c r="AJ98" s="132">
        <f t="shared" si="88"/>
        <v>81503.125</v>
      </c>
      <c r="AK98" s="132">
        <f t="shared" si="88"/>
        <v>77798.4375</v>
      </c>
      <c r="AL98" s="132">
        <f t="shared" si="88"/>
        <v>74093.75</v>
      </c>
      <c r="AM98" s="132">
        <f t="shared" si="88"/>
        <v>70389.0625</v>
      </c>
      <c r="AN98" s="132">
        <f t="shared" si="88"/>
        <v>66684.375</v>
      </c>
      <c r="AO98" s="132">
        <f t="shared" si="88"/>
        <v>62979.6875</v>
      </c>
      <c r="AP98" s="132">
        <f t="shared" si="88"/>
        <v>59275</v>
      </c>
      <c r="AQ98" s="132">
        <f t="shared" si="88"/>
        <v>55570.3125</v>
      </c>
      <c r="AR98" s="132">
        <f t="shared" si="88"/>
        <v>51865.625</v>
      </c>
      <c r="AS98" s="132">
        <f t="shared" si="88"/>
        <v>48160.9375</v>
      </c>
      <c r="AT98" s="132">
        <f t="shared" si="88"/>
        <v>44456.25</v>
      </c>
      <c r="AU98" s="132">
        <f t="shared" si="88"/>
        <v>40751.5625</v>
      </c>
      <c r="AV98" s="132">
        <f t="shared" si="88"/>
        <v>37046.875</v>
      </c>
      <c r="AW98" s="132">
        <f t="shared" si="88"/>
        <v>33342.1875</v>
      </c>
      <c r="AX98" s="132">
        <f t="shared" si="88"/>
        <v>29637.5</v>
      </c>
      <c r="AY98" s="132">
        <f t="shared" si="88"/>
        <v>25932.8125</v>
      </c>
      <c r="AZ98" s="132">
        <f t="shared" si="88"/>
        <v>22228.125</v>
      </c>
      <c r="BA98" s="132">
        <f t="shared" si="88"/>
        <v>18523.4375</v>
      </c>
      <c r="BB98" s="132">
        <f t="shared" si="88"/>
        <v>14818.75</v>
      </c>
      <c r="BC98" s="132">
        <f t="shared" si="88"/>
        <v>11114.0625</v>
      </c>
      <c r="BD98" s="132">
        <f t="shared" si="88"/>
        <v>7409.375</v>
      </c>
      <c r="BE98" s="132">
        <f t="shared" si="88"/>
        <v>3704.6875</v>
      </c>
      <c r="BF98" s="132">
        <f t="shared" si="88"/>
        <v>0</v>
      </c>
      <c r="BG98" s="132">
        <f t="shared" si="88"/>
        <v>0</v>
      </c>
      <c r="BH98" s="132">
        <f t="shared" si="88"/>
        <v>0</v>
      </c>
      <c r="BI98" s="132">
        <f t="shared" si="88"/>
        <v>0</v>
      </c>
      <c r="BJ98" s="132">
        <f t="shared" si="88"/>
        <v>0</v>
      </c>
      <c r="BK98" s="132">
        <f t="shared" si="88"/>
        <v>0</v>
      </c>
      <c r="BL98" s="132">
        <f t="shared" si="88"/>
        <v>0</v>
      </c>
      <c r="BM98" s="132">
        <f t="shared" si="88"/>
        <v>0</v>
      </c>
      <c r="BN98" s="132">
        <f t="shared" si="88"/>
        <v>0</v>
      </c>
      <c r="BO98" s="132">
        <f t="shared" si="88"/>
        <v>0</v>
      </c>
      <c r="BP98" s="132">
        <f t="shared" si="88"/>
        <v>0</v>
      </c>
      <c r="BQ98" s="132">
        <f t="shared" si="88"/>
        <v>0</v>
      </c>
      <c r="BR98" s="132">
        <f t="shared" si="88"/>
        <v>0</v>
      </c>
      <c r="BS98" s="75"/>
    </row>
    <row r="99" ht="13.5" customHeight="1">
      <c r="A99" s="106"/>
      <c r="B99" s="92"/>
      <c r="C99" s="119"/>
      <c r="D99" s="82"/>
      <c r="E99" s="90"/>
      <c r="F99" s="90"/>
      <c r="G99" s="90"/>
      <c r="H99" s="90"/>
      <c r="I99" s="90"/>
      <c r="J99" s="123"/>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311"/>
      <c r="BJ99" s="311"/>
      <c r="BK99" s="311"/>
      <c r="BL99" s="311"/>
      <c r="BM99" s="311"/>
      <c r="BN99" s="311"/>
      <c r="BO99" s="311"/>
      <c r="BP99" s="311"/>
      <c r="BQ99" s="311"/>
      <c r="BR99" s="311"/>
      <c r="BS99" s="92"/>
    </row>
    <row r="100" ht="15.75" customHeight="1">
      <c r="A100" s="80"/>
      <c r="B100" s="98" t="s">
        <v>203</v>
      </c>
      <c r="C100" s="98"/>
      <c r="D100" s="99"/>
      <c r="E100" s="300">
        <f t="shared" ref="E100:I100" si="89">INDEX($K100:$BR100,,MATCH(E$1,$K$2:$BR$2,0)+11)</f>
        <v>199293.1734</v>
      </c>
      <c r="F100" s="300">
        <f t="shared" si="89"/>
        <v>169887.9187</v>
      </c>
      <c r="G100" s="300">
        <f t="shared" si="89"/>
        <v>162527.9473</v>
      </c>
      <c r="H100" s="300">
        <f t="shared" si="89"/>
        <v>166401.1941</v>
      </c>
      <c r="I100" s="300">
        <f t="shared" si="89"/>
        <v>226287.0024</v>
      </c>
      <c r="J100" s="92"/>
      <c r="K100" s="300">
        <f t="shared" ref="K100:BR100" si="90">K95+K98</f>
        <v>293426.8572</v>
      </c>
      <c r="L100" s="300">
        <f t="shared" si="90"/>
        <v>282769.3813</v>
      </c>
      <c r="M100" s="300">
        <f t="shared" si="90"/>
        <v>271666.4344</v>
      </c>
      <c r="N100" s="300">
        <f t="shared" si="90"/>
        <v>261175.7821</v>
      </c>
      <c r="O100" s="300">
        <f t="shared" si="90"/>
        <v>251297.4246</v>
      </c>
      <c r="P100" s="300">
        <f t="shared" si="90"/>
        <v>242031.3617</v>
      </c>
      <c r="Q100" s="300">
        <f t="shared" si="90"/>
        <v>233377.5936</v>
      </c>
      <c r="R100" s="300">
        <f t="shared" si="90"/>
        <v>225336.1202</v>
      </c>
      <c r="S100" s="300">
        <f t="shared" si="90"/>
        <v>217906.9414</v>
      </c>
      <c r="T100" s="300">
        <f t="shared" si="90"/>
        <v>211090.0574</v>
      </c>
      <c r="U100" s="300">
        <f t="shared" si="90"/>
        <v>204885.468</v>
      </c>
      <c r="V100" s="300">
        <f t="shared" si="90"/>
        <v>199293.1734</v>
      </c>
      <c r="W100" s="300">
        <f t="shared" si="90"/>
        <v>194529.4332</v>
      </c>
      <c r="X100" s="300">
        <f t="shared" si="90"/>
        <v>190395.0662</v>
      </c>
      <c r="Y100" s="300">
        <f t="shared" si="90"/>
        <v>186890.0725</v>
      </c>
      <c r="Z100" s="300">
        <f t="shared" si="90"/>
        <v>184014.4519</v>
      </c>
      <c r="AA100" s="300">
        <f t="shared" si="90"/>
        <v>181768.2046</v>
      </c>
      <c r="AB100" s="300">
        <f t="shared" si="90"/>
        <v>180151.3304</v>
      </c>
      <c r="AC100" s="300">
        <f t="shared" si="90"/>
        <v>177957.1738</v>
      </c>
      <c r="AD100" s="300">
        <f t="shared" si="90"/>
        <v>175953.8847</v>
      </c>
      <c r="AE100" s="300">
        <f t="shared" si="90"/>
        <v>174143.3734</v>
      </c>
      <c r="AF100" s="300">
        <f t="shared" si="90"/>
        <v>172527.5706</v>
      </c>
      <c r="AG100" s="300">
        <f t="shared" si="90"/>
        <v>171108.4281</v>
      </c>
      <c r="AH100" s="300">
        <f t="shared" si="90"/>
        <v>169887.9187</v>
      </c>
      <c r="AI100" s="300">
        <f t="shared" si="90"/>
        <v>168337.1393</v>
      </c>
      <c r="AJ100" s="300">
        <f t="shared" si="90"/>
        <v>166952.5138</v>
      </c>
      <c r="AK100" s="300">
        <f t="shared" si="90"/>
        <v>165735.3054</v>
      </c>
      <c r="AL100" s="300">
        <f t="shared" si="90"/>
        <v>164686.7883</v>
      </c>
      <c r="AM100" s="300">
        <f t="shared" si="90"/>
        <v>163808.2468</v>
      </c>
      <c r="AN100" s="300">
        <f t="shared" si="90"/>
        <v>163100.9762</v>
      </c>
      <c r="AO100" s="300">
        <f t="shared" si="90"/>
        <v>162566.2826</v>
      </c>
      <c r="AP100" s="300">
        <f t="shared" si="90"/>
        <v>162205.4829</v>
      </c>
      <c r="AQ100" s="300">
        <f t="shared" si="90"/>
        <v>162019.905</v>
      </c>
      <c r="AR100" s="300">
        <f t="shared" si="90"/>
        <v>162010.8878</v>
      </c>
      <c r="AS100" s="300">
        <f t="shared" si="90"/>
        <v>162179.7815</v>
      </c>
      <c r="AT100" s="300">
        <f t="shared" si="90"/>
        <v>162527.9473</v>
      </c>
      <c r="AU100" s="300">
        <f t="shared" si="90"/>
        <v>162020.3961</v>
      </c>
      <c r="AV100" s="300">
        <f t="shared" si="90"/>
        <v>161660.8029</v>
      </c>
      <c r="AW100" s="300">
        <f t="shared" si="90"/>
        <v>161450.057</v>
      </c>
      <c r="AX100" s="300">
        <f t="shared" si="90"/>
        <v>161389.0539</v>
      </c>
      <c r="AY100" s="300">
        <f t="shared" si="90"/>
        <v>161478.6947</v>
      </c>
      <c r="AZ100" s="300">
        <f t="shared" si="90"/>
        <v>161719.8868</v>
      </c>
      <c r="BA100" s="300">
        <f t="shared" si="90"/>
        <v>162113.5436</v>
      </c>
      <c r="BB100" s="300">
        <f t="shared" si="90"/>
        <v>162660.5846</v>
      </c>
      <c r="BC100" s="300">
        <f t="shared" si="90"/>
        <v>163361.9352</v>
      </c>
      <c r="BD100" s="300">
        <f t="shared" si="90"/>
        <v>164218.5273</v>
      </c>
      <c r="BE100" s="300">
        <f t="shared" si="90"/>
        <v>165231.2989</v>
      </c>
      <c r="BF100" s="300">
        <f t="shared" si="90"/>
        <v>166401.1941</v>
      </c>
      <c r="BG100" s="300">
        <f t="shared" si="90"/>
        <v>170499.0807</v>
      </c>
      <c r="BH100" s="300">
        <f t="shared" si="90"/>
        <v>174755.9983</v>
      </c>
      <c r="BI100" s="300">
        <f t="shared" si="90"/>
        <v>179172.9101</v>
      </c>
      <c r="BJ100" s="300">
        <f t="shared" si="90"/>
        <v>183750.7858</v>
      </c>
      <c r="BK100" s="300">
        <f t="shared" si="90"/>
        <v>188490.6015</v>
      </c>
      <c r="BL100" s="300">
        <f t="shared" si="90"/>
        <v>193393.3399</v>
      </c>
      <c r="BM100" s="300">
        <f t="shared" si="90"/>
        <v>198459.99</v>
      </c>
      <c r="BN100" s="300">
        <f t="shared" si="90"/>
        <v>203691.5476</v>
      </c>
      <c r="BO100" s="300">
        <f t="shared" si="90"/>
        <v>209089.0153</v>
      </c>
      <c r="BP100" s="300">
        <f t="shared" si="90"/>
        <v>214653.4019</v>
      </c>
      <c r="BQ100" s="300">
        <f t="shared" si="90"/>
        <v>220385.7234</v>
      </c>
      <c r="BR100" s="300">
        <f t="shared" si="90"/>
        <v>226287.0024</v>
      </c>
      <c r="BS100" s="75"/>
    </row>
    <row r="101" ht="13.5" customHeight="1">
      <c r="A101" s="106"/>
      <c r="B101" s="92"/>
      <c r="C101" s="9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312"/>
      <c r="AH101" s="312"/>
      <c r="AI101" s="312"/>
      <c r="AJ101" s="312"/>
      <c r="AK101" s="312"/>
      <c r="AL101" s="312"/>
      <c r="AM101" s="312"/>
      <c r="AN101" s="312"/>
      <c r="AO101" s="312"/>
      <c r="AP101" s="312"/>
      <c r="AQ101" s="312"/>
      <c r="AR101" s="312"/>
      <c r="AS101" s="312"/>
      <c r="AT101" s="312"/>
      <c r="AU101" s="312"/>
      <c r="AV101" s="312"/>
      <c r="AW101" s="312"/>
      <c r="AX101" s="312"/>
      <c r="AY101" s="312"/>
      <c r="AZ101" s="312"/>
      <c r="BA101" s="312"/>
      <c r="BB101" s="312"/>
      <c r="BC101" s="312"/>
      <c r="BD101" s="312"/>
      <c r="BE101" s="312"/>
      <c r="BF101" s="312"/>
      <c r="BG101" s="312"/>
      <c r="BH101" s="312"/>
      <c r="BI101" s="312"/>
      <c r="BJ101" s="312"/>
      <c r="BK101" s="312"/>
      <c r="BL101" s="312"/>
      <c r="BM101" s="312"/>
      <c r="BN101" s="312"/>
      <c r="BO101" s="312"/>
      <c r="BP101" s="312"/>
      <c r="BQ101" s="312"/>
      <c r="BR101" s="312"/>
      <c r="BS101" s="92"/>
    </row>
    <row r="102" ht="13.5" customHeight="1">
      <c r="A102" s="106"/>
      <c r="B102" s="92"/>
      <c r="C102" s="9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c r="AB102" s="312"/>
      <c r="AC102" s="312"/>
      <c r="AD102" s="312"/>
      <c r="AE102" s="312"/>
      <c r="AF102" s="312"/>
      <c r="AG102" s="312"/>
      <c r="AH102" s="312"/>
      <c r="AI102" s="312"/>
      <c r="AJ102" s="312"/>
      <c r="AK102" s="312"/>
      <c r="AL102" s="312"/>
      <c r="AM102" s="312"/>
      <c r="AN102" s="312"/>
      <c r="AO102" s="312"/>
      <c r="AP102" s="312"/>
      <c r="AQ102" s="312"/>
      <c r="AR102" s="312"/>
      <c r="AS102" s="312"/>
      <c r="AT102" s="312"/>
      <c r="AU102" s="312"/>
      <c r="AV102" s="312"/>
      <c r="AW102" s="312"/>
      <c r="AX102" s="312"/>
      <c r="AY102" s="312"/>
      <c r="AZ102" s="312"/>
      <c r="BA102" s="312"/>
      <c r="BB102" s="312"/>
      <c r="BC102" s="312"/>
      <c r="BD102" s="312"/>
      <c r="BE102" s="312"/>
      <c r="BF102" s="312"/>
      <c r="BG102" s="312"/>
      <c r="BH102" s="312"/>
      <c r="BI102" s="312"/>
      <c r="BJ102" s="312"/>
      <c r="BK102" s="312"/>
      <c r="BL102" s="312"/>
      <c r="BM102" s="312"/>
      <c r="BN102" s="312"/>
      <c r="BO102" s="312"/>
      <c r="BP102" s="312"/>
      <c r="BQ102" s="312"/>
      <c r="BR102" s="312"/>
      <c r="BS102" s="92"/>
    </row>
    <row r="103" ht="13.5" customHeight="1">
      <c r="A103" s="106"/>
      <c r="B103" s="81" t="s">
        <v>206</v>
      </c>
      <c r="C103" s="119"/>
      <c r="D103" s="82"/>
      <c r="E103" s="123">
        <f t="shared" ref="E103:I103" si="91">INDEX($K103:$BR103,,MATCH(E$1,$K$2:$BR$2,0)+11)</f>
        <v>20853.09591</v>
      </c>
      <c r="F103" s="123">
        <f t="shared" si="91"/>
        <v>29016.25027</v>
      </c>
      <c r="G103" s="123">
        <f t="shared" si="91"/>
        <v>32054.63084</v>
      </c>
      <c r="H103" s="123">
        <f t="shared" si="91"/>
        <v>34715.14939</v>
      </c>
      <c r="I103" s="123">
        <f t="shared" si="91"/>
        <v>37596.48967</v>
      </c>
      <c r="J103" s="312"/>
      <c r="K103" s="311">
        <f t="shared" ref="K103:BR103" si="92">K$180</f>
        <v>8159.907097</v>
      </c>
      <c r="L103" s="311">
        <f t="shared" si="92"/>
        <v>10275.43857</v>
      </c>
      <c r="M103" s="311">
        <f t="shared" si="92"/>
        <v>11333.2043</v>
      </c>
      <c r="N103" s="311">
        <f t="shared" si="92"/>
        <v>12390.97004</v>
      </c>
      <c r="O103" s="311">
        <f t="shared" si="92"/>
        <v>13448.73577</v>
      </c>
      <c r="P103" s="311">
        <f t="shared" si="92"/>
        <v>14506.50151</v>
      </c>
      <c r="Q103" s="311">
        <f t="shared" si="92"/>
        <v>15564.26724</v>
      </c>
      <c r="R103" s="311">
        <f t="shared" si="92"/>
        <v>16622.03297</v>
      </c>
      <c r="S103" s="311">
        <f t="shared" si="92"/>
        <v>17679.79871</v>
      </c>
      <c r="T103" s="311">
        <f t="shared" si="92"/>
        <v>18737.56444</v>
      </c>
      <c r="U103" s="311">
        <f t="shared" si="92"/>
        <v>19795.33018</v>
      </c>
      <c r="V103" s="311">
        <f t="shared" si="92"/>
        <v>20853.09591</v>
      </c>
      <c r="W103" s="311">
        <f t="shared" si="92"/>
        <v>21910.86165</v>
      </c>
      <c r="X103" s="311">
        <f t="shared" si="92"/>
        <v>22968.62738</v>
      </c>
      <c r="Y103" s="311">
        <f t="shared" si="92"/>
        <v>24026.39312</v>
      </c>
      <c r="Z103" s="311">
        <f t="shared" si="92"/>
        <v>25084.15885</v>
      </c>
      <c r="AA103" s="311">
        <f t="shared" si="92"/>
        <v>26141.92459</v>
      </c>
      <c r="AB103" s="311">
        <f t="shared" si="92"/>
        <v>27199.69032</v>
      </c>
      <c r="AC103" s="311">
        <f t="shared" si="92"/>
        <v>27494.35363</v>
      </c>
      <c r="AD103" s="311">
        <f t="shared" si="92"/>
        <v>27792.20913</v>
      </c>
      <c r="AE103" s="311">
        <f t="shared" si="92"/>
        <v>28093.2914</v>
      </c>
      <c r="AF103" s="311">
        <f t="shared" si="92"/>
        <v>28397.63539</v>
      </c>
      <c r="AG103" s="311">
        <f t="shared" si="92"/>
        <v>28705.27644</v>
      </c>
      <c r="AH103" s="311">
        <f t="shared" si="92"/>
        <v>29016.25027</v>
      </c>
      <c r="AI103" s="311">
        <f t="shared" si="92"/>
        <v>29258.05235</v>
      </c>
      <c r="AJ103" s="311">
        <f t="shared" si="92"/>
        <v>29501.86945</v>
      </c>
      <c r="AK103" s="311">
        <f t="shared" si="92"/>
        <v>29747.71837</v>
      </c>
      <c r="AL103" s="311">
        <f t="shared" si="92"/>
        <v>29995.61602</v>
      </c>
      <c r="AM103" s="311">
        <f t="shared" si="92"/>
        <v>30245.57949</v>
      </c>
      <c r="AN103" s="311">
        <f t="shared" si="92"/>
        <v>30497.62598</v>
      </c>
      <c r="AO103" s="311">
        <f t="shared" si="92"/>
        <v>30751.77287</v>
      </c>
      <c r="AP103" s="311">
        <f t="shared" si="92"/>
        <v>31008.03764</v>
      </c>
      <c r="AQ103" s="311">
        <f t="shared" si="92"/>
        <v>31266.43795</v>
      </c>
      <c r="AR103" s="311">
        <f t="shared" si="92"/>
        <v>31526.9916</v>
      </c>
      <c r="AS103" s="311">
        <f t="shared" si="92"/>
        <v>31789.71653</v>
      </c>
      <c r="AT103" s="311">
        <f t="shared" si="92"/>
        <v>32054.63084</v>
      </c>
      <c r="AU103" s="311">
        <f t="shared" si="92"/>
        <v>32268.32838</v>
      </c>
      <c r="AV103" s="311">
        <f t="shared" si="92"/>
        <v>32483.45057</v>
      </c>
      <c r="AW103" s="311">
        <f t="shared" si="92"/>
        <v>32700.0069</v>
      </c>
      <c r="AX103" s="311">
        <f t="shared" si="92"/>
        <v>32918.00695</v>
      </c>
      <c r="AY103" s="311">
        <f t="shared" si="92"/>
        <v>33137.46033</v>
      </c>
      <c r="AZ103" s="311">
        <f t="shared" si="92"/>
        <v>33358.37673</v>
      </c>
      <c r="BA103" s="311">
        <f t="shared" si="92"/>
        <v>33580.76591</v>
      </c>
      <c r="BB103" s="311">
        <f t="shared" si="92"/>
        <v>33804.63768</v>
      </c>
      <c r="BC103" s="311">
        <f t="shared" si="92"/>
        <v>34030.00193</v>
      </c>
      <c r="BD103" s="311">
        <f t="shared" si="92"/>
        <v>34256.86861</v>
      </c>
      <c r="BE103" s="311">
        <f t="shared" si="92"/>
        <v>34485.24774</v>
      </c>
      <c r="BF103" s="311">
        <f t="shared" si="92"/>
        <v>34715.14939</v>
      </c>
      <c r="BG103" s="311">
        <f t="shared" si="92"/>
        <v>34946.58372</v>
      </c>
      <c r="BH103" s="311">
        <f t="shared" si="92"/>
        <v>35179.56094</v>
      </c>
      <c r="BI103" s="311">
        <f t="shared" si="92"/>
        <v>35414.09135</v>
      </c>
      <c r="BJ103" s="311">
        <f t="shared" si="92"/>
        <v>35650.18529</v>
      </c>
      <c r="BK103" s="311">
        <f t="shared" si="92"/>
        <v>35887.85319</v>
      </c>
      <c r="BL103" s="311">
        <f t="shared" si="92"/>
        <v>36127.10555</v>
      </c>
      <c r="BM103" s="311">
        <f t="shared" si="92"/>
        <v>36367.95292</v>
      </c>
      <c r="BN103" s="311">
        <f t="shared" si="92"/>
        <v>36610.40594</v>
      </c>
      <c r="BO103" s="311">
        <f t="shared" si="92"/>
        <v>36854.47531</v>
      </c>
      <c r="BP103" s="311">
        <f t="shared" si="92"/>
        <v>37100.17181</v>
      </c>
      <c r="BQ103" s="311">
        <f t="shared" si="92"/>
        <v>37347.50629</v>
      </c>
      <c r="BR103" s="311">
        <f t="shared" si="92"/>
        <v>37596.48967</v>
      </c>
      <c r="BS103" s="92"/>
    </row>
    <row r="104" ht="15.75" customHeight="1">
      <c r="A104" s="106"/>
      <c r="B104" s="81" t="s">
        <v>207</v>
      </c>
      <c r="C104" s="75"/>
      <c r="D104" s="75"/>
      <c r="E104" s="123">
        <f t="shared" ref="E104:I104" si="93">INDEX($K104:$BR104,,MATCH(E$1,$K$2:$BR$2,0)+11)</f>
        <v>0</v>
      </c>
      <c r="F104" s="123">
        <f t="shared" si="93"/>
        <v>0</v>
      </c>
      <c r="G104" s="123">
        <f t="shared" si="93"/>
        <v>0</v>
      </c>
      <c r="H104" s="123">
        <f t="shared" si="93"/>
        <v>0</v>
      </c>
      <c r="I104" s="123">
        <f t="shared" si="93"/>
        <v>0</v>
      </c>
      <c r="J104" s="75"/>
      <c r="K104" s="301">
        <f t="shared" ref="K104:BR104" si="94">K$159</f>
        <v>0</v>
      </c>
      <c r="L104" s="301">
        <f t="shared" si="94"/>
        <v>0</v>
      </c>
      <c r="M104" s="301">
        <f t="shared" si="94"/>
        <v>0</v>
      </c>
      <c r="N104" s="301">
        <f t="shared" si="94"/>
        <v>0</v>
      </c>
      <c r="O104" s="301">
        <f t="shared" si="94"/>
        <v>0</v>
      </c>
      <c r="P104" s="301">
        <f t="shared" si="94"/>
        <v>0</v>
      </c>
      <c r="Q104" s="301">
        <f t="shared" si="94"/>
        <v>0</v>
      </c>
      <c r="R104" s="301">
        <f t="shared" si="94"/>
        <v>0</v>
      </c>
      <c r="S104" s="301">
        <f t="shared" si="94"/>
        <v>0</v>
      </c>
      <c r="T104" s="301">
        <f t="shared" si="94"/>
        <v>0</v>
      </c>
      <c r="U104" s="301">
        <f t="shared" si="94"/>
        <v>0</v>
      </c>
      <c r="V104" s="301">
        <f t="shared" si="94"/>
        <v>0</v>
      </c>
      <c r="W104" s="301">
        <f t="shared" si="94"/>
        <v>0</v>
      </c>
      <c r="X104" s="301">
        <f t="shared" si="94"/>
        <v>0</v>
      </c>
      <c r="Y104" s="301">
        <f t="shared" si="94"/>
        <v>0</v>
      </c>
      <c r="Z104" s="301">
        <f t="shared" si="94"/>
        <v>0</v>
      </c>
      <c r="AA104" s="301">
        <f t="shared" si="94"/>
        <v>0</v>
      </c>
      <c r="AB104" s="301">
        <f t="shared" si="94"/>
        <v>0</v>
      </c>
      <c r="AC104" s="301">
        <f t="shared" si="94"/>
        <v>0</v>
      </c>
      <c r="AD104" s="301">
        <f t="shared" si="94"/>
        <v>0</v>
      </c>
      <c r="AE104" s="301">
        <f t="shared" si="94"/>
        <v>0</v>
      </c>
      <c r="AF104" s="301">
        <f t="shared" si="94"/>
        <v>0</v>
      </c>
      <c r="AG104" s="301">
        <f t="shared" si="94"/>
        <v>0</v>
      </c>
      <c r="AH104" s="301">
        <f t="shared" si="94"/>
        <v>0</v>
      </c>
      <c r="AI104" s="301">
        <f t="shared" si="94"/>
        <v>0</v>
      </c>
      <c r="AJ104" s="301">
        <f t="shared" si="94"/>
        <v>0</v>
      </c>
      <c r="AK104" s="301">
        <f t="shared" si="94"/>
        <v>0</v>
      </c>
      <c r="AL104" s="301">
        <f t="shared" si="94"/>
        <v>0</v>
      </c>
      <c r="AM104" s="301">
        <f t="shared" si="94"/>
        <v>0</v>
      </c>
      <c r="AN104" s="301">
        <f t="shared" si="94"/>
        <v>0</v>
      </c>
      <c r="AO104" s="301">
        <f t="shared" si="94"/>
        <v>0</v>
      </c>
      <c r="AP104" s="301">
        <f t="shared" si="94"/>
        <v>0</v>
      </c>
      <c r="AQ104" s="301">
        <f t="shared" si="94"/>
        <v>0</v>
      </c>
      <c r="AR104" s="301">
        <f t="shared" si="94"/>
        <v>0</v>
      </c>
      <c r="AS104" s="301">
        <f t="shared" si="94"/>
        <v>0</v>
      </c>
      <c r="AT104" s="301">
        <f t="shared" si="94"/>
        <v>0</v>
      </c>
      <c r="AU104" s="301">
        <f t="shared" si="94"/>
        <v>0</v>
      </c>
      <c r="AV104" s="301">
        <f t="shared" si="94"/>
        <v>0</v>
      </c>
      <c r="AW104" s="301">
        <f t="shared" si="94"/>
        <v>0</v>
      </c>
      <c r="AX104" s="301">
        <f t="shared" si="94"/>
        <v>0</v>
      </c>
      <c r="AY104" s="301">
        <f t="shared" si="94"/>
        <v>0</v>
      </c>
      <c r="AZ104" s="301">
        <f t="shared" si="94"/>
        <v>0</v>
      </c>
      <c r="BA104" s="301">
        <f t="shared" si="94"/>
        <v>0</v>
      </c>
      <c r="BB104" s="301">
        <f t="shared" si="94"/>
        <v>0</v>
      </c>
      <c r="BC104" s="301">
        <f t="shared" si="94"/>
        <v>0</v>
      </c>
      <c r="BD104" s="301">
        <f t="shared" si="94"/>
        <v>0</v>
      </c>
      <c r="BE104" s="301">
        <f t="shared" si="94"/>
        <v>0</v>
      </c>
      <c r="BF104" s="301">
        <f t="shared" si="94"/>
        <v>0</v>
      </c>
      <c r="BG104" s="301">
        <f t="shared" si="94"/>
        <v>0</v>
      </c>
      <c r="BH104" s="301">
        <f t="shared" si="94"/>
        <v>0</v>
      </c>
      <c r="BI104" s="301">
        <f t="shared" si="94"/>
        <v>0</v>
      </c>
      <c r="BJ104" s="301">
        <f t="shared" si="94"/>
        <v>0</v>
      </c>
      <c r="BK104" s="301">
        <f t="shared" si="94"/>
        <v>0</v>
      </c>
      <c r="BL104" s="301">
        <f t="shared" si="94"/>
        <v>0</v>
      </c>
      <c r="BM104" s="301">
        <f t="shared" si="94"/>
        <v>0</v>
      </c>
      <c r="BN104" s="301">
        <f t="shared" si="94"/>
        <v>0</v>
      </c>
      <c r="BO104" s="301">
        <f t="shared" si="94"/>
        <v>0</v>
      </c>
      <c r="BP104" s="301">
        <f t="shared" si="94"/>
        <v>0</v>
      </c>
      <c r="BQ104" s="301">
        <f t="shared" si="94"/>
        <v>0</v>
      </c>
      <c r="BR104" s="301">
        <f t="shared" si="94"/>
        <v>0</v>
      </c>
      <c r="BS104" s="75"/>
    </row>
    <row r="105" ht="15.75" customHeight="1">
      <c r="A105" s="80"/>
      <c r="B105" s="298" t="s">
        <v>320</v>
      </c>
      <c r="C105" s="131"/>
      <c r="D105" s="102"/>
      <c r="E105" s="132">
        <f t="shared" ref="E105:I105" si="95">INDEX($K105:$BR105,,MATCH(E$1,$K$2:$BR$2,0)+11)</f>
        <v>20853.09591</v>
      </c>
      <c r="F105" s="132">
        <f t="shared" si="95"/>
        <v>29016.25027</v>
      </c>
      <c r="G105" s="132">
        <f t="shared" si="95"/>
        <v>32054.63084</v>
      </c>
      <c r="H105" s="132">
        <f t="shared" si="95"/>
        <v>34715.14939</v>
      </c>
      <c r="I105" s="132">
        <f t="shared" si="95"/>
        <v>37596.48967</v>
      </c>
      <c r="J105" s="92"/>
      <c r="K105" s="132">
        <f t="shared" ref="K105:BR105" si="96">SUM(K103:K104)</f>
        <v>8159.907097</v>
      </c>
      <c r="L105" s="132">
        <f t="shared" si="96"/>
        <v>10275.43857</v>
      </c>
      <c r="M105" s="132">
        <f t="shared" si="96"/>
        <v>11333.2043</v>
      </c>
      <c r="N105" s="132">
        <f t="shared" si="96"/>
        <v>12390.97004</v>
      </c>
      <c r="O105" s="132">
        <f t="shared" si="96"/>
        <v>13448.73577</v>
      </c>
      <c r="P105" s="132">
        <f t="shared" si="96"/>
        <v>14506.50151</v>
      </c>
      <c r="Q105" s="132">
        <f t="shared" si="96"/>
        <v>15564.26724</v>
      </c>
      <c r="R105" s="132">
        <f t="shared" si="96"/>
        <v>16622.03297</v>
      </c>
      <c r="S105" s="132">
        <f t="shared" si="96"/>
        <v>17679.79871</v>
      </c>
      <c r="T105" s="132">
        <f t="shared" si="96"/>
        <v>18737.56444</v>
      </c>
      <c r="U105" s="132">
        <f t="shared" si="96"/>
        <v>19795.33018</v>
      </c>
      <c r="V105" s="132">
        <f t="shared" si="96"/>
        <v>20853.09591</v>
      </c>
      <c r="W105" s="132">
        <f t="shared" si="96"/>
        <v>21910.86165</v>
      </c>
      <c r="X105" s="132">
        <f t="shared" si="96"/>
        <v>22968.62738</v>
      </c>
      <c r="Y105" s="132">
        <f t="shared" si="96"/>
        <v>24026.39312</v>
      </c>
      <c r="Z105" s="132">
        <f t="shared" si="96"/>
        <v>25084.15885</v>
      </c>
      <c r="AA105" s="132">
        <f t="shared" si="96"/>
        <v>26141.92459</v>
      </c>
      <c r="AB105" s="132">
        <f t="shared" si="96"/>
        <v>27199.69032</v>
      </c>
      <c r="AC105" s="132">
        <f t="shared" si="96"/>
        <v>27494.35363</v>
      </c>
      <c r="AD105" s="132">
        <f t="shared" si="96"/>
        <v>27792.20913</v>
      </c>
      <c r="AE105" s="132">
        <f t="shared" si="96"/>
        <v>28093.2914</v>
      </c>
      <c r="AF105" s="132">
        <f t="shared" si="96"/>
        <v>28397.63539</v>
      </c>
      <c r="AG105" s="132">
        <f t="shared" si="96"/>
        <v>28705.27644</v>
      </c>
      <c r="AH105" s="132">
        <f t="shared" si="96"/>
        <v>29016.25027</v>
      </c>
      <c r="AI105" s="132">
        <f t="shared" si="96"/>
        <v>29258.05235</v>
      </c>
      <c r="AJ105" s="132">
        <f t="shared" si="96"/>
        <v>29501.86945</v>
      </c>
      <c r="AK105" s="132">
        <f t="shared" si="96"/>
        <v>29747.71837</v>
      </c>
      <c r="AL105" s="132">
        <f t="shared" si="96"/>
        <v>29995.61602</v>
      </c>
      <c r="AM105" s="132">
        <f t="shared" si="96"/>
        <v>30245.57949</v>
      </c>
      <c r="AN105" s="132">
        <f t="shared" si="96"/>
        <v>30497.62598</v>
      </c>
      <c r="AO105" s="132">
        <f t="shared" si="96"/>
        <v>30751.77287</v>
      </c>
      <c r="AP105" s="132">
        <f t="shared" si="96"/>
        <v>31008.03764</v>
      </c>
      <c r="AQ105" s="132">
        <f t="shared" si="96"/>
        <v>31266.43795</v>
      </c>
      <c r="AR105" s="132">
        <f t="shared" si="96"/>
        <v>31526.9916</v>
      </c>
      <c r="AS105" s="132">
        <f t="shared" si="96"/>
        <v>31789.71653</v>
      </c>
      <c r="AT105" s="132">
        <f t="shared" si="96"/>
        <v>32054.63084</v>
      </c>
      <c r="AU105" s="132">
        <f t="shared" si="96"/>
        <v>32268.32838</v>
      </c>
      <c r="AV105" s="132">
        <f t="shared" si="96"/>
        <v>32483.45057</v>
      </c>
      <c r="AW105" s="132">
        <f t="shared" si="96"/>
        <v>32700.0069</v>
      </c>
      <c r="AX105" s="132">
        <f t="shared" si="96"/>
        <v>32918.00695</v>
      </c>
      <c r="AY105" s="132">
        <f t="shared" si="96"/>
        <v>33137.46033</v>
      </c>
      <c r="AZ105" s="132">
        <f t="shared" si="96"/>
        <v>33358.37673</v>
      </c>
      <c r="BA105" s="132">
        <f t="shared" si="96"/>
        <v>33580.76591</v>
      </c>
      <c r="BB105" s="132">
        <f t="shared" si="96"/>
        <v>33804.63768</v>
      </c>
      <c r="BC105" s="132">
        <f t="shared" si="96"/>
        <v>34030.00193</v>
      </c>
      <c r="BD105" s="132">
        <f t="shared" si="96"/>
        <v>34256.86861</v>
      </c>
      <c r="BE105" s="132">
        <f t="shared" si="96"/>
        <v>34485.24774</v>
      </c>
      <c r="BF105" s="132">
        <f t="shared" si="96"/>
        <v>34715.14939</v>
      </c>
      <c r="BG105" s="132">
        <f t="shared" si="96"/>
        <v>34946.58372</v>
      </c>
      <c r="BH105" s="132">
        <f t="shared" si="96"/>
        <v>35179.56094</v>
      </c>
      <c r="BI105" s="132">
        <f t="shared" si="96"/>
        <v>35414.09135</v>
      </c>
      <c r="BJ105" s="132">
        <f t="shared" si="96"/>
        <v>35650.18529</v>
      </c>
      <c r="BK105" s="132">
        <f t="shared" si="96"/>
        <v>35887.85319</v>
      </c>
      <c r="BL105" s="132">
        <f t="shared" si="96"/>
        <v>36127.10555</v>
      </c>
      <c r="BM105" s="132">
        <f t="shared" si="96"/>
        <v>36367.95292</v>
      </c>
      <c r="BN105" s="132">
        <f t="shared" si="96"/>
        <v>36610.40594</v>
      </c>
      <c r="BO105" s="132">
        <f t="shared" si="96"/>
        <v>36854.47531</v>
      </c>
      <c r="BP105" s="132">
        <f t="shared" si="96"/>
        <v>37100.17181</v>
      </c>
      <c r="BQ105" s="132">
        <f t="shared" si="96"/>
        <v>37347.50629</v>
      </c>
      <c r="BR105" s="132">
        <f t="shared" si="96"/>
        <v>37596.48967</v>
      </c>
      <c r="BS105" s="75"/>
    </row>
    <row r="106" ht="13.5" customHeight="1">
      <c r="A106" s="106"/>
      <c r="B106" s="92"/>
      <c r="C106" s="119"/>
      <c r="D106" s="82"/>
      <c r="E106" s="90"/>
      <c r="F106" s="90"/>
      <c r="G106" s="90"/>
      <c r="H106" s="90"/>
      <c r="I106" s="90"/>
      <c r="J106" s="123"/>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311"/>
      <c r="BJ106" s="311"/>
      <c r="BK106" s="311"/>
      <c r="BL106" s="311"/>
      <c r="BM106" s="311"/>
      <c r="BN106" s="311"/>
      <c r="BO106" s="311"/>
      <c r="BP106" s="311"/>
      <c r="BQ106" s="311"/>
      <c r="BR106" s="311"/>
      <c r="BS106" s="92"/>
    </row>
    <row r="107" ht="13.5" customHeight="1">
      <c r="A107" s="106"/>
      <c r="B107" s="81" t="s">
        <v>321</v>
      </c>
      <c r="C107" s="119"/>
      <c r="D107" s="82"/>
      <c r="E107" s="123">
        <f t="shared" ref="E107:I107" si="97">INDEX($K107:$BR107,,MATCH(E$1,$K$2:$BR$2,0)+11)</f>
        <v>219450</v>
      </c>
      <c r="F107" s="123">
        <f t="shared" si="97"/>
        <v>199500</v>
      </c>
      <c r="G107" s="123">
        <f t="shared" si="97"/>
        <v>179550</v>
      </c>
      <c r="H107" s="123">
        <f t="shared" si="97"/>
        <v>159600</v>
      </c>
      <c r="I107" s="123">
        <f t="shared" si="97"/>
        <v>139650</v>
      </c>
      <c r="J107" s="312"/>
      <c r="K107" s="123">
        <f t="shared" ref="K107:BR107" si="98">K$194+K201+K208</f>
        <v>237737.5</v>
      </c>
      <c r="L107" s="123">
        <f t="shared" si="98"/>
        <v>236075</v>
      </c>
      <c r="M107" s="123">
        <f t="shared" si="98"/>
        <v>234412.5</v>
      </c>
      <c r="N107" s="123">
        <f t="shared" si="98"/>
        <v>232750</v>
      </c>
      <c r="O107" s="123">
        <f t="shared" si="98"/>
        <v>231087.5</v>
      </c>
      <c r="P107" s="123">
        <f t="shared" si="98"/>
        <v>229425</v>
      </c>
      <c r="Q107" s="123">
        <f t="shared" si="98"/>
        <v>227762.5</v>
      </c>
      <c r="R107" s="123">
        <f t="shared" si="98"/>
        <v>226100</v>
      </c>
      <c r="S107" s="123">
        <f t="shared" si="98"/>
        <v>224437.5</v>
      </c>
      <c r="T107" s="123">
        <f t="shared" si="98"/>
        <v>222775</v>
      </c>
      <c r="U107" s="123">
        <f t="shared" si="98"/>
        <v>221112.5</v>
      </c>
      <c r="V107" s="123">
        <f t="shared" si="98"/>
        <v>219450</v>
      </c>
      <c r="W107" s="123">
        <f t="shared" si="98"/>
        <v>217787.5</v>
      </c>
      <c r="X107" s="123">
        <f t="shared" si="98"/>
        <v>216125</v>
      </c>
      <c r="Y107" s="123">
        <f t="shared" si="98"/>
        <v>214462.5</v>
      </c>
      <c r="Z107" s="123">
        <f t="shared" si="98"/>
        <v>212800</v>
      </c>
      <c r="AA107" s="123">
        <f t="shared" si="98"/>
        <v>211137.5</v>
      </c>
      <c r="AB107" s="123">
        <f t="shared" si="98"/>
        <v>209475</v>
      </c>
      <c r="AC107" s="123">
        <f t="shared" si="98"/>
        <v>207812.5</v>
      </c>
      <c r="AD107" s="123">
        <f t="shared" si="98"/>
        <v>206150</v>
      </c>
      <c r="AE107" s="123">
        <f t="shared" si="98"/>
        <v>204487.5</v>
      </c>
      <c r="AF107" s="123">
        <f t="shared" si="98"/>
        <v>202825</v>
      </c>
      <c r="AG107" s="123">
        <f t="shared" si="98"/>
        <v>201162.5</v>
      </c>
      <c r="AH107" s="123">
        <f t="shared" si="98"/>
        <v>199500</v>
      </c>
      <c r="AI107" s="123">
        <f t="shared" si="98"/>
        <v>197837.5</v>
      </c>
      <c r="AJ107" s="123">
        <f t="shared" si="98"/>
        <v>196175</v>
      </c>
      <c r="AK107" s="123">
        <f t="shared" si="98"/>
        <v>194512.5</v>
      </c>
      <c r="AL107" s="123">
        <f t="shared" si="98"/>
        <v>192850</v>
      </c>
      <c r="AM107" s="123">
        <f t="shared" si="98"/>
        <v>191187.5</v>
      </c>
      <c r="AN107" s="123">
        <f t="shared" si="98"/>
        <v>189525</v>
      </c>
      <c r="AO107" s="123">
        <f t="shared" si="98"/>
        <v>187862.5</v>
      </c>
      <c r="AP107" s="123">
        <f t="shared" si="98"/>
        <v>186200</v>
      </c>
      <c r="AQ107" s="123">
        <f t="shared" si="98"/>
        <v>184537.5</v>
      </c>
      <c r="AR107" s="123">
        <f t="shared" si="98"/>
        <v>182875</v>
      </c>
      <c r="AS107" s="123">
        <f t="shared" si="98"/>
        <v>181212.5</v>
      </c>
      <c r="AT107" s="123">
        <f t="shared" si="98"/>
        <v>179550</v>
      </c>
      <c r="AU107" s="123">
        <f t="shared" si="98"/>
        <v>177887.5</v>
      </c>
      <c r="AV107" s="123">
        <f t="shared" si="98"/>
        <v>176225</v>
      </c>
      <c r="AW107" s="123">
        <f t="shared" si="98"/>
        <v>174562.5</v>
      </c>
      <c r="AX107" s="123">
        <f t="shared" si="98"/>
        <v>172900</v>
      </c>
      <c r="AY107" s="123">
        <f t="shared" si="98"/>
        <v>171237.5</v>
      </c>
      <c r="AZ107" s="123">
        <f t="shared" si="98"/>
        <v>169575</v>
      </c>
      <c r="BA107" s="123">
        <f t="shared" si="98"/>
        <v>167912.5</v>
      </c>
      <c r="BB107" s="123">
        <f t="shared" si="98"/>
        <v>166250</v>
      </c>
      <c r="BC107" s="123">
        <f t="shared" si="98"/>
        <v>164587.5</v>
      </c>
      <c r="BD107" s="123">
        <f t="shared" si="98"/>
        <v>162925</v>
      </c>
      <c r="BE107" s="123">
        <f t="shared" si="98"/>
        <v>161262.5</v>
      </c>
      <c r="BF107" s="123">
        <f t="shared" si="98"/>
        <v>159600</v>
      </c>
      <c r="BG107" s="123">
        <f t="shared" si="98"/>
        <v>157937.5</v>
      </c>
      <c r="BH107" s="123">
        <f t="shared" si="98"/>
        <v>156275</v>
      </c>
      <c r="BI107" s="123">
        <f t="shared" si="98"/>
        <v>154612.5</v>
      </c>
      <c r="BJ107" s="123">
        <f t="shared" si="98"/>
        <v>152950</v>
      </c>
      <c r="BK107" s="123">
        <f t="shared" si="98"/>
        <v>151287.5</v>
      </c>
      <c r="BL107" s="123">
        <f t="shared" si="98"/>
        <v>149625</v>
      </c>
      <c r="BM107" s="123">
        <f t="shared" si="98"/>
        <v>147962.5</v>
      </c>
      <c r="BN107" s="123">
        <f t="shared" si="98"/>
        <v>146300</v>
      </c>
      <c r="BO107" s="123">
        <f t="shared" si="98"/>
        <v>144637.5</v>
      </c>
      <c r="BP107" s="123">
        <f t="shared" si="98"/>
        <v>142975</v>
      </c>
      <c r="BQ107" s="123">
        <f t="shared" si="98"/>
        <v>141312.5</v>
      </c>
      <c r="BR107" s="123">
        <f t="shared" si="98"/>
        <v>139650</v>
      </c>
      <c r="BS107" s="92"/>
    </row>
    <row r="108" ht="15.75" customHeight="1">
      <c r="A108" s="80"/>
      <c r="B108" s="298" t="s">
        <v>322</v>
      </c>
      <c r="C108" s="131"/>
      <c r="D108" s="102"/>
      <c r="E108" s="132">
        <f t="shared" ref="E108:I108" si="99">INDEX($K108:$BR108,,MATCH(E$1,$K$2:$BR$2,0)+11)</f>
        <v>219450</v>
      </c>
      <c r="F108" s="132">
        <f t="shared" si="99"/>
        <v>199500</v>
      </c>
      <c r="G108" s="132">
        <f t="shared" si="99"/>
        <v>179550</v>
      </c>
      <c r="H108" s="132">
        <f t="shared" si="99"/>
        <v>159600</v>
      </c>
      <c r="I108" s="132">
        <f t="shared" si="99"/>
        <v>139650</v>
      </c>
      <c r="J108" s="92"/>
      <c r="K108" s="132">
        <f t="shared" ref="K108:BR108" si="100">SUM(K107)</f>
        <v>237737.5</v>
      </c>
      <c r="L108" s="132">
        <f t="shared" si="100"/>
        <v>236075</v>
      </c>
      <c r="M108" s="132">
        <f t="shared" si="100"/>
        <v>234412.5</v>
      </c>
      <c r="N108" s="132">
        <f t="shared" si="100"/>
        <v>232750</v>
      </c>
      <c r="O108" s="132">
        <f t="shared" si="100"/>
        <v>231087.5</v>
      </c>
      <c r="P108" s="132">
        <f t="shared" si="100"/>
        <v>229425</v>
      </c>
      <c r="Q108" s="132">
        <f t="shared" si="100"/>
        <v>227762.5</v>
      </c>
      <c r="R108" s="132">
        <f t="shared" si="100"/>
        <v>226100</v>
      </c>
      <c r="S108" s="132">
        <f t="shared" si="100"/>
        <v>224437.5</v>
      </c>
      <c r="T108" s="132">
        <f t="shared" si="100"/>
        <v>222775</v>
      </c>
      <c r="U108" s="132">
        <f t="shared" si="100"/>
        <v>221112.5</v>
      </c>
      <c r="V108" s="132">
        <f t="shared" si="100"/>
        <v>219450</v>
      </c>
      <c r="W108" s="132">
        <f t="shared" si="100"/>
        <v>217787.5</v>
      </c>
      <c r="X108" s="132">
        <f t="shared" si="100"/>
        <v>216125</v>
      </c>
      <c r="Y108" s="132">
        <f t="shared" si="100"/>
        <v>214462.5</v>
      </c>
      <c r="Z108" s="132">
        <f t="shared" si="100"/>
        <v>212800</v>
      </c>
      <c r="AA108" s="132">
        <f t="shared" si="100"/>
        <v>211137.5</v>
      </c>
      <c r="AB108" s="132">
        <f t="shared" si="100"/>
        <v>209475</v>
      </c>
      <c r="AC108" s="132">
        <f t="shared" si="100"/>
        <v>207812.5</v>
      </c>
      <c r="AD108" s="132">
        <f t="shared" si="100"/>
        <v>206150</v>
      </c>
      <c r="AE108" s="132">
        <f t="shared" si="100"/>
        <v>204487.5</v>
      </c>
      <c r="AF108" s="132">
        <f t="shared" si="100"/>
        <v>202825</v>
      </c>
      <c r="AG108" s="132">
        <f t="shared" si="100"/>
        <v>201162.5</v>
      </c>
      <c r="AH108" s="132">
        <f t="shared" si="100"/>
        <v>199500</v>
      </c>
      <c r="AI108" s="132">
        <f t="shared" si="100"/>
        <v>197837.5</v>
      </c>
      <c r="AJ108" s="132">
        <f t="shared" si="100"/>
        <v>196175</v>
      </c>
      <c r="AK108" s="132">
        <f t="shared" si="100"/>
        <v>194512.5</v>
      </c>
      <c r="AL108" s="132">
        <f t="shared" si="100"/>
        <v>192850</v>
      </c>
      <c r="AM108" s="132">
        <f t="shared" si="100"/>
        <v>191187.5</v>
      </c>
      <c r="AN108" s="132">
        <f t="shared" si="100"/>
        <v>189525</v>
      </c>
      <c r="AO108" s="132">
        <f t="shared" si="100"/>
        <v>187862.5</v>
      </c>
      <c r="AP108" s="132">
        <f t="shared" si="100"/>
        <v>186200</v>
      </c>
      <c r="AQ108" s="132">
        <f t="shared" si="100"/>
        <v>184537.5</v>
      </c>
      <c r="AR108" s="132">
        <f t="shared" si="100"/>
        <v>182875</v>
      </c>
      <c r="AS108" s="132">
        <f t="shared" si="100"/>
        <v>181212.5</v>
      </c>
      <c r="AT108" s="132">
        <f t="shared" si="100"/>
        <v>179550</v>
      </c>
      <c r="AU108" s="132">
        <f t="shared" si="100"/>
        <v>177887.5</v>
      </c>
      <c r="AV108" s="132">
        <f t="shared" si="100"/>
        <v>176225</v>
      </c>
      <c r="AW108" s="132">
        <f t="shared" si="100"/>
        <v>174562.5</v>
      </c>
      <c r="AX108" s="132">
        <f t="shared" si="100"/>
        <v>172900</v>
      </c>
      <c r="AY108" s="132">
        <f t="shared" si="100"/>
        <v>171237.5</v>
      </c>
      <c r="AZ108" s="132">
        <f t="shared" si="100"/>
        <v>169575</v>
      </c>
      <c r="BA108" s="132">
        <f t="shared" si="100"/>
        <v>167912.5</v>
      </c>
      <c r="BB108" s="132">
        <f t="shared" si="100"/>
        <v>166250</v>
      </c>
      <c r="BC108" s="132">
        <f t="shared" si="100"/>
        <v>164587.5</v>
      </c>
      <c r="BD108" s="132">
        <f t="shared" si="100"/>
        <v>162925</v>
      </c>
      <c r="BE108" s="132">
        <f t="shared" si="100"/>
        <v>161262.5</v>
      </c>
      <c r="BF108" s="132">
        <f t="shared" si="100"/>
        <v>159600</v>
      </c>
      <c r="BG108" s="132">
        <f t="shared" si="100"/>
        <v>157937.5</v>
      </c>
      <c r="BH108" s="132">
        <f t="shared" si="100"/>
        <v>156275</v>
      </c>
      <c r="BI108" s="132">
        <f t="shared" si="100"/>
        <v>154612.5</v>
      </c>
      <c r="BJ108" s="132">
        <f t="shared" si="100"/>
        <v>152950</v>
      </c>
      <c r="BK108" s="132">
        <f t="shared" si="100"/>
        <v>151287.5</v>
      </c>
      <c r="BL108" s="132">
        <f t="shared" si="100"/>
        <v>149625</v>
      </c>
      <c r="BM108" s="132">
        <f t="shared" si="100"/>
        <v>147962.5</v>
      </c>
      <c r="BN108" s="132">
        <f t="shared" si="100"/>
        <v>146300</v>
      </c>
      <c r="BO108" s="132">
        <f t="shared" si="100"/>
        <v>144637.5</v>
      </c>
      <c r="BP108" s="132">
        <f t="shared" si="100"/>
        <v>142975</v>
      </c>
      <c r="BQ108" s="132">
        <f t="shared" si="100"/>
        <v>141312.5</v>
      </c>
      <c r="BR108" s="132">
        <f t="shared" si="100"/>
        <v>139650</v>
      </c>
      <c r="BS108" s="75"/>
    </row>
    <row r="109" ht="13.5" customHeight="1">
      <c r="A109" s="106"/>
      <c r="B109" s="92"/>
      <c r="C109" s="119"/>
      <c r="D109" s="82"/>
      <c r="E109" s="123"/>
      <c r="F109" s="123"/>
      <c r="G109" s="123"/>
      <c r="H109" s="123"/>
      <c r="I109" s="123"/>
      <c r="J109" s="312"/>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311"/>
      <c r="BJ109" s="311"/>
      <c r="BK109" s="311"/>
      <c r="BL109" s="311"/>
      <c r="BM109" s="311"/>
      <c r="BN109" s="311"/>
      <c r="BO109" s="311"/>
      <c r="BP109" s="311"/>
      <c r="BQ109" s="311"/>
      <c r="BR109" s="311"/>
      <c r="BS109" s="92"/>
    </row>
    <row r="110" ht="15.75" customHeight="1">
      <c r="A110" s="80"/>
      <c r="B110" s="98" t="s">
        <v>214</v>
      </c>
      <c r="C110" s="98"/>
      <c r="D110" s="99"/>
      <c r="E110" s="300">
        <f t="shared" ref="E110:I110" si="101">INDEX($K110:$BR110,,MATCH(E$1,$K$2:$BR$2,0)+11)</f>
        <v>240303.0959</v>
      </c>
      <c r="F110" s="300">
        <f t="shared" si="101"/>
        <v>228516.2503</v>
      </c>
      <c r="G110" s="300">
        <f t="shared" si="101"/>
        <v>211604.6308</v>
      </c>
      <c r="H110" s="300">
        <f t="shared" si="101"/>
        <v>194315.1494</v>
      </c>
      <c r="I110" s="300">
        <f t="shared" si="101"/>
        <v>177246.4897</v>
      </c>
      <c r="J110" s="92"/>
      <c r="K110" s="300">
        <f t="shared" ref="K110:BR110" si="102">K105+K108</f>
        <v>245897.4071</v>
      </c>
      <c r="L110" s="300">
        <f t="shared" si="102"/>
        <v>246350.4386</v>
      </c>
      <c r="M110" s="300">
        <f t="shared" si="102"/>
        <v>245745.7043</v>
      </c>
      <c r="N110" s="300">
        <f t="shared" si="102"/>
        <v>245140.97</v>
      </c>
      <c r="O110" s="300">
        <f t="shared" si="102"/>
        <v>244536.2358</v>
      </c>
      <c r="P110" s="300">
        <f t="shared" si="102"/>
        <v>243931.5015</v>
      </c>
      <c r="Q110" s="300">
        <f t="shared" si="102"/>
        <v>243326.7672</v>
      </c>
      <c r="R110" s="300">
        <f t="shared" si="102"/>
        <v>242722.033</v>
      </c>
      <c r="S110" s="300">
        <f t="shared" si="102"/>
        <v>242117.2987</v>
      </c>
      <c r="T110" s="300">
        <f t="shared" si="102"/>
        <v>241512.5644</v>
      </c>
      <c r="U110" s="300">
        <f t="shared" si="102"/>
        <v>240907.8302</v>
      </c>
      <c r="V110" s="300">
        <f t="shared" si="102"/>
        <v>240303.0959</v>
      </c>
      <c r="W110" s="300">
        <f t="shared" si="102"/>
        <v>239698.3616</v>
      </c>
      <c r="X110" s="300">
        <f t="shared" si="102"/>
        <v>239093.6274</v>
      </c>
      <c r="Y110" s="300">
        <f t="shared" si="102"/>
        <v>238488.8931</v>
      </c>
      <c r="Z110" s="300">
        <f t="shared" si="102"/>
        <v>237884.1589</v>
      </c>
      <c r="AA110" s="300">
        <f t="shared" si="102"/>
        <v>237279.4246</v>
      </c>
      <c r="AB110" s="300">
        <f t="shared" si="102"/>
        <v>236674.6903</v>
      </c>
      <c r="AC110" s="300">
        <f t="shared" si="102"/>
        <v>235306.8536</v>
      </c>
      <c r="AD110" s="300">
        <f t="shared" si="102"/>
        <v>233942.2091</v>
      </c>
      <c r="AE110" s="300">
        <f t="shared" si="102"/>
        <v>232580.7914</v>
      </c>
      <c r="AF110" s="300">
        <f t="shared" si="102"/>
        <v>231222.6354</v>
      </c>
      <c r="AG110" s="300">
        <f t="shared" si="102"/>
        <v>229867.7764</v>
      </c>
      <c r="AH110" s="300">
        <f t="shared" si="102"/>
        <v>228516.2503</v>
      </c>
      <c r="AI110" s="300">
        <f t="shared" si="102"/>
        <v>227095.5524</v>
      </c>
      <c r="AJ110" s="300">
        <f t="shared" si="102"/>
        <v>225676.8695</v>
      </c>
      <c r="AK110" s="300">
        <f t="shared" si="102"/>
        <v>224260.2184</v>
      </c>
      <c r="AL110" s="300">
        <f t="shared" si="102"/>
        <v>222845.616</v>
      </c>
      <c r="AM110" s="300">
        <f t="shared" si="102"/>
        <v>221433.0795</v>
      </c>
      <c r="AN110" s="300">
        <f t="shared" si="102"/>
        <v>220022.626</v>
      </c>
      <c r="AO110" s="300">
        <f t="shared" si="102"/>
        <v>218614.2729</v>
      </c>
      <c r="AP110" s="300">
        <f t="shared" si="102"/>
        <v>217208.0376</v>
      </c>
      <c r="AQ110" s="300">
        <f t="shared" si="102"/>
        <v>215803.938</v>
      </c>
      <c r="AR110" s="300">
        <f t="shared" si="102"/>
        <v>214401.9916</v>
      </c>
      <c r="AS110" s="300">
        <f t="shared" si="102"/>
        <v>213002.2165</v>
      </c>
      <c r="AT110" s="300">
        <f t="shared" si="102"/>
        <v>211604.6308</v>
      </c>
      <c r="AU110" s="300">
        <f t="shared" si="102"/>
        <v>210155.8284</v>
      </c>
      <c r="AV110" s="300">
        <f t="shared" si="102"/>
        <v>208708.4506</v>
      </c>
      <c r="AW110" s="300">
        <f t="shared" si="102"/>
        <v>207262.5069</v>
      </c>
      <c r="AX110" s="300">
        <f t="shared" si="102"/>
        <v>205818.0069</v>
      </c>
      <c r="AY110" s="300">
        <f t="shared" si="102"/>
        <v>204374.9603</v>
      </c>
      <c r="AZ110" s="300">
        <f t="shared" si="102"/>
        <v>202933.3767</v>
      </c>
      <c r="BA110" s="300">
        <f t="shared" si="102"/>
        <v>201493.2659</v>
      </c>
      <c r="BB110" s="300">
        <f t="shared" si="102"/>
        <v>200054.6377</v>
      </c>
      <c r="BC110" s="300">
        <f t="shared" si="102"/>
        <v>198617.5019</v>
      </c>
      <c r="BD110" s="300">
        <f t="shared" si="102"/>
        <v>197181.8686</v>
      </c>
      <c r="BE110" s="300">
        <f t="shared" si="102"/>
        <v>195747.7477</v>
      </c>
      <c r="BF110" s="300">
        <f t="shared" si="102"/>
        <v>194315.1494</v>
      </c>
      <c r="BG110" s="300">
        <f t="shared" si="102"/>
        <v>192884.0837</v>
      </c>
      <c r="BH110" s="300">
        <f t="shared" si="102"/>
        <v>191454.5609</v>
      </c>
      <c r="BI110" s="300">
        <f t="shared" si="102"/>
        <v>190026.5913</v>
      </c>
      <c r="BJ110" s="300">
        <f t="shared" si="102"/>
        <v>188600.1853</v>
      </c>
      <c r="BK110" s="300">
        <f t="shared" si="102"/>
        <v>187175.3532</v>
      </c>
      <c r="BL110" s="300">
        <f t="shared" si="102"/>
        <v>185752.1055</v>
      </c>
      <c r="BM110" s="300">
        <f t="shared" si="102"/>
        <v>184330.4529</v>
      </c>
      <c r="BN110" s="300">
        <f t="shared" si="102"/>
        <v>182910.4059</v>
      </c>
      <c r="BO110" s="300">
        <f t="shared" si="102"/>
        <v>181491.9753</v>
      </c>
      <c r="BP110" s="300">
        <f t="shared" si="102"/>
        <v>180075.1718</v>
      </c>
      <c r="BQ110" s="300">
        <f t="shared" si="102"/>
        <v>178660.0063</v>
      </c>
      <c r="BR110" s="300">
        <f t="shared" si="102"/>
        <v>177246.4897</v>
      </c>
      <c r="BS110" s="75"/>
    </row>
    <row r="111" ht="13.5" customHeight="1">
      <c r="A111" s="106"/>
      <c r="B111" s="92"/>
      <c r="C111" s="119"/>
      <c r="D111" s="82"/>
      <c r="E111" s="311"/>
      <c r="F111" s="311"/>
      <c r="G111" s="311"/>
      <c r="H111" s="311"/>
      <c r="I111" s="311"/>
      <c r="J111" s="123"/>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311"/>
      <c r="BJ111" s="311"/>
      <c r="BK111" s="311"/>
      <c r="BL111" s="311"/>
      <c r="BM111" s="311"/>
      <c r="BN111" s="311"/>
      <c r="BO111" s="311"/>
      <c r="BP111" s="311"/>
      <c r="BQ111" s="311"/>
      <c r="BR111" s="311"/>
      <c r="BS111" s="92"/>
    </row>
    <row r="112" ht="15.75" customHeight="1">
      <c r="A112" s="80"/>
      <c r="B112" s="98" t="s">
        <v>132</v>
      </c>
      <c r="C112" s="98"/>
      <c r="D112" s="99"/>
      <c r="E112" s="300">
        <f t="shared" ref="E112:I112" si="103">INDEX($K112:$BR112,,MATCH(E$1,$K$2:$BR$2,0)+11)</f>
        <v>-41009.92255</v>
      </c>
      <c r="F112" s="300">
        <f t="shared" si="103"/>
        <v>-58628.33154</v>
      </c>
      <c r="G112" s="300">
        <f t="shared" si="103"/>
        <v>-49076.6835</v>
      </c>
      <c r="H112" s="300">
        <f t="shared" si="103"/>
        <v>-27913.9553</v>
      </c>
      <c r="I112" s="300">
        <f t="shared" si="103"/>
        <v>49040.51276</v>
      </c>
      <c r="J112" s="92"/>
      <c r="K112" s="300">
        <f t="shared" ref="K112:BR112" si="104">K$100-K$105-K$108</f>
        <v>47529.4501</v>
      </c>
      <c r="L112" s="300">
        <f t="shared" si="104"/>
        <v>36418.94273</v>
      </c>
      <c r="M112" s="300">
        <f t="shared" si="104"/>
        <v>25920.73006</v>
      </c>
      <c r="N112" s="300">
        <f t="shared" si="104"/>
        <v>16034.81208</v>
      </c>
      <c r="O112" s="300">
        <f t="shared" si="104"/>
        <v>6761.188808</v>
      </c>
      <c r="P112" s="300">
        <f t="shared" si="104"/>
        <v>-1900.139769</v>
      </c>
      <c r="Q112" s="300">
        <f t="shared" si="104"/>
        <v>-9949.173646</v>
      </c>
      <c r="R112" s="300">
        <f t="shared" si="104"/>
        <v>-17385.91282</v>
      </c>
      <c r="S112" s="300">
        <f t="shared" si="104"/>
        <v>-24210.3573</v>
      </c>
      <c r="T112" s="300">
        <f t="shared" si="104"/>
        <v>-30422.50708</v>
      </c>
      <c r="U112" s="300">
        <f t="shared" si="104"/>
        <v>-36022.36216</v>
      </c>
      <c r="V112" s="300">
        <f t="shared" si="104"/>
        <v>-41009.92255</v>
      </c>
      <c r="W112" s="300">
        <f t="shared" si="104"/>
        <v>-45168.92846</v>
      </c>
      <c r="X112" s="300">
        <f t="shared" si="104"/>
        <v>-48698.56116</v>
      </c>
      <c r="Y112" s="300">
        <f t="shared" si="104"/>
        <v>-51598.82066</v>
      </c>
      <c r="Z112" s="300">
        <f t="shared" si="104"/>
        <v>-53869.70694</v>
      </c>
      <c r="AA112" s="300">
        <f t="shared" si="104"/>
        <v>-55511.22002</v>
      </c>
      <c r="AB112" s="300">
        <f t="shared" si="104"/>
        <v>-56523.35989</v>
      </c>
      <c r="AC112" s="300">
        <f t="shared" si="104"/>
        <v>-57349.67984</v>
      </c>
      <c r="AD112" s="300">
        <f t="shared" si="104"/>
        <v>-57988.3244</v>
      </c>
      <c r="AE112" s="300">
        <f t="shared" si="104"/>
        <v>-58437.41802</v>
      </c>
      <c r="AF112" s="300">
        <f t="shared" si="104"/>
        <v>-58695.06482</v>
      </c>
      <c r="AG112" s="300">
        <f t="shared" si="104"/>
        <v>-58759.34839</v>
      </c>
      <c r="AH112" s="300">
        <f t="shared" si="104"/>
        <v>-58628.33154</v>
      </c>
      <c r="AI112" s="300">
        <f t="shared" si="104"/>
        <v>-58758.41303</v>
      </c>
      <c r="AJ112" s="300">
        <f t="shared" si="104"/>
        <v>-58724.35569</v>
      </c>
      <c r="AK112" s="300">
        <f t="shared" si="104"/>
        <v>-58524.91293</v>
      </c>
      <c r="AL112" s="300">
        <f t="shared" si="104"/>
        <v>-58158.82776</v>
      </c>
      <c r="AM112" s="300">
        <f t="shared" si="104"/>
        <v>-57624.8327</v>
      </c>
      <c r="AN112" s="300">
        <f t="shared" si="104"/>
        <v>-56921.64975</v>
      </c>
      <c r="AO112" s="300">
        <f t="shared" si="104"/>
        <v>-56047.99022</v>
      </c>
      <c r="AP112" s="300">
        <f t="shared" si="104"/>
        <v>-55002.55469</v>
      </c>
      <c r="AQ112" s="300">
        <f t="shared" si="104"/>
        <v>-53784.03293</v>
      </c>
      <c r="AR112" s="300">
        <f t="shared" si="104"/>
        <v>-52391.10378</v>
      </c>
      <c r="AS112" s="300">
        <f t="shared" si="104"/>
        <v>-50822.43506</v>
      </c>
      <c r="AT112" s="300">
        <f t="shared" si="104"/>
        <v>-49076.6835</v>
      </c>
      <c r="AU112" s="300">
        <f t="shared" si="104"/>
        <v>-48135.43223</v>
      </c>
      <c r="AV112" s="300">
        <f t="shared" si="104"/>
        <v>-47047.64765</v>
      </c>
      <c r="AW112" s="300">
        <f t="shared" si="104"/>
        <v>-45812.44986</v>
      </c>
      <c r="AX112" s="300">
        <f t="shared" si="104"/>
        <v>-44428.95309</v>
      </c>
      <c r="AY112" s="300">
        <f t="shared" si="104"/>
        <v>-42896.26565</v>
      </c>
      <c r="AZ112" s="300">
        <f t="shared" si="104"/>
        <v>-41213.48992</v>
      </c>
      <c r="BA112" s="300">
        <f t="shared" si="104"/>
        <v>-39379.72228</v>
      </c>
      <c r="BB112" s="300">
        <f t="shared" si="104"/>
        <v>-37394.05311</v>
      </c>
      <c r="BC112" s="300">
        <f t="shared" si="104"/>
        <v>-35255.5667</v>
      </c>
      <c r="BD112" s="300">
        <f t="shared" si="104"/>
        <v>-32963.34126</v>
      </c>
      <c r="BE112" s="300">
        <f t="shared" si="104"/>
        <v>-30516.44884</v>
      </c>
      <c r="BF112" s="300">
        <f t="shared" si="104"/>
        <v>-27913.9553</v>
      </c>
      <c r="BG112" s="300">
        <f t="shared" si="104"/>
        <v>-22385.00304</v>
      </c>
      <c r="BH112" s="300">
        <f t="shared" si="104"/>
        <v>-16698.56266</v>
      </c>
      <c r="BI112" s="300">
        <f t="shared" si="104"/>
        <v>-10853.68124</v>
      </c>
      <c r="BJ112" s="300">
        <f t="shared" si="104"/>
        <v>-4849.399469</v>
      </c>
      <c r="BK112" s="300">
        <f t="shared" si="104"/>
        <v>1315.248336</v>
      </c>
      <c r="BL112" s="300">
        <f t="shared" si="104"/>
        <v>7641.234305</v>
      </c>
      <c r="BM112" s="300">
        <f t="shared" si="104"/>
        <v>14129.53705</v>
      </c>
      <c r="BN112" s="300">
        <f t="shared" si="104"/>
        <v>20781.14169</v>
      </c>
      <c r="BO112" s="300">
        <f t="shared" si="104"/>
        <v>27597.03994</v>
      </c>
      <c r="BP112" s="300">
        <f t="shared" si="104"/>
        <v>34578.23011</v>
      </c>
      <c r="BQ112" s="300">
        <f t="shared" si="104"/>
        <v>41725.71716</v>
      </c>
      <c r="BR112" s="300">
        <f t="shared" si="104"/>
        <v>49040.51276</v>
      </c>
      <c r="BS112" s="75"/>
    </row>
    <row r="113" ht="13.5" customHeight="1">
      <c r="A113" s="106"/>
      <c r="B113" s="92"/>
      <c r="C113" s="119"/>
      <c r="D113" s="82"/>
      <c r="E113" s="90"/>
      <c r="F113" s="90"/>
      <c r="G113" s="90"/>
      <c r="H113" s="90"/>
      <c r="I113" s="90"/>
      <c r="J113" s="123"/>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311"/>
      <c r="BJ113" s="311"/>
      <c r="BK113" s="311"/>
      <c r="BL113" s="311"/>
      <c r="BM113" s="311"/>
      <c r="BN113" s="311"/>
      <c r="BO113" s="311"/>
      <c r="BP113" s="311"/>
      <c r="BQ113" s="311"/>
      <c r="BR113" s="311"/>
      <c r="BS113" s="92"/>
    </row>
    <row r="114" ht="13.5" customHeight="1">
      <c r="A114" s="106"/>
      <c r="B114" s="81" t="s">
        <v>323</v>
      </c>
      <c r="C114" s="119"/>
      <c r="D114" s="82"/>
      <c r="E114" s="123">
        <f t="shared" ref="E114:I114" si="105">INDEX($K114:$BR114,,MATCH(E$1,$K$2:$BR$2,0)+11)</f>
        <v>59850</v>
      </c>
      <c r="F114" s="123">
        <f t="shared" si="105"/>
        <v>59850</v>
      </c>
      <c r="G114" s="123">
        <f t="shared" si="105"/>
        <v>59850</v>
      </c>
      <c r="H114" s="123">
        <f t="shared" si="105"/>
        <v>59850</v>
      </c>
      <c r="I114" s="123">
        <f t="shared" si="105"/>
        <v>59850</v>
      </c>
      <c r="J114" s="312"/>
      <c r="K114" s="123">
        <f t="shared" ref="K114:BR114" si="106">SUM($K$139:K$139)</f>
        <v>59850</v>
      </c>
      <c r="L114" s="123">
        <f t="shared" si="106"/>
        <v>59850</v>
      </c>
      <c r="M114" s="123">
        <f t="shared" si="106"/>
        <v>59850</v>
      </c>
      <c r="N114" s="123">
        <f t="shared" si="106"/>
        <v>59850</v>
      </c>
      <c r="O114" s="123">
        <f t="shared" si="106"/>
        <v>59850</v>
      </c>
      <c r="P114" s="123">
        <f t="shared" si="106"/>
        <v>59850</v>
      </c>
      <c r="Q114" s="123">
        <f t="shared" si="106"/>
        <v>59850</v>
      </c>
      <c r="R114" s="123">
        <f t="shared" si="106"/>
        <v>59850</v>
      </c>
      <c r="S114" s="123">
        <f t="shared" si="106"/>
        <v>59850</v>
      </c>
      <c r="T114" s="123">
        <f t="shared" si="106"/>
        <v>59850</v>
      </c>
      <c r="U114" s="123">
        <f t="shared" si="106"/>
        <v>59850</v>
      </c>
      <c r="V114" s="123">
        <f t="shared" si="106"/>
        <v>59850</v>
      </c>
      <c r="W114" s="123">
        <f t="shared" si="106"/>
        <v>59850</v>
      </c>
      <c r="X114" s="123">
        <f t="shared" si="106"/>
        <v>59850</v>
      </c>
      <c r="Y114" s="123">
        <f t="shared" si="106"/>
        <v>59850</v>
      </c>
      <c r="Z114" s="123">
        <f t="shared" si="106"/>
        <v>59850</v>
      </c>
      <c r="AA114" s="123">
        <f t="shared" si="106"/>
        <v>59850</v>
      </c>
      <c r="AB114" s="123">
        <f t="shared" si="106"/>
        <v>59850</v>
      </c>
      <c r="AC114" s="123">
        <f t="shared" si="106"/>
        <v>59850</v>
      </c>
      <c r="AD114" s="123">
        <f t="shared" si="106"/>
        <v>59850</v>
      </c>
      <c r="AE114" s="123">
        <f t="shared" si="106"/>
        <v>59850</v>
      </c>
      <c r="AF114" s="123">
        <f t="shared" si="106"/>
        <v>59850</v>
      </c>
      <c r="AG114" s="123">
        <f t="shared" si="106"/>
        <v>59850</v>
      </c>
      <c r="AH114" s="123">
        <f t="shared" si="106"/>
        <v>59850</v>
      </c>
      <c r="AI114" s="123">
        <f t="shared" si="106"/>
        <v>59850</v>
      </c>
      <c r="AJ114" s="123">
        <f t="shared" si="106"/>
        <v>59850</v>
      </c>
      <c r="AK114" s="123">
        <f t="shared" si="106"/>
        <v>59850</v>
      </c>
      <c r="AL114" s="123">
        <f t="shared" si="106"/>
        <v>59850</v>
      </c>
      <c r="AM114" s="123">
        <f t="shared" si="106"/>
        <v>59850</v>
      </c>
      <c r="AN114" s="123">
        <f t="shared" si="106"/>
        <v>59850</v>
      </c>
      <c r="AO114" s="123">
        <f t="shared" si="106"/>
        <v>59850</v>
      </c>
      <c r="AP114" s="123">
        <f t="shared" si="106"/>
        <v>59850</v>
      </c>
      <c r="AQ114" s="123">
        <f t="shared" si="106"/>
        <v>59850</v>
      </c>
      <c r="AR114" s="123">
        <f t="shared" si="106"/>
        <v>59850</v>
      </c>
      <c r="AS114" s="123">
        <f t="shared" si="106"/>
        <v>59850</v>
      </c>
      <c r="AT114" s="123">
        <f t="shared" si="106"/>
        <v>59850</v>
      </c>
      <c r="AU114" s="123">
        <f t="shared" si="106"/>
        <v>59850</v>
      </c>
      <c r="AV114" s="123">
        <f t="shared" si="106"/>
        <v>59850</v>
      </c>
      <c r="AW114" s="123">
        <f t="shared" si="106"/>
        <v>59850</v>
      </c>
      <c r="AX114" s="123">
        <f t="shared" si="106"/>
        <v>59850</v>
      </c>
      <c r="AY114" s="123">
        <f t="shared" si="106"/>
        <v>59850</v>
      </c>
      <c r="AZ114" s="123">
        <f t="shared" si="106"/>
        <v>59850</v>
      </c>
      <c r="BA114" s="123">
        <f t="shared" si="106"/>
        <v>59850</v>
      </c>
      <c r="BB114" s="123">
        <f t="shared" si="106"/>
        <v>59850</v>
      </c>
      <c r="BC114" s="123">
        <f t="shared" si="106"/>
        <v>59850</v>
      </c>
      <c r="BD114" s="123">
        <f t="shared" si="106"/>
        <v>59850</v>
      </c>
      <c r="BE114" s="123">
        <f t="shared" si="106"/>
        <v>59850</v>
      </c>
      <c r="BF114" s="123">
        <f t="shared" si="106"/>
        <v>59850</v>
      </c>
      <c r="BG114" s="123">
        <f t="shared" si="106"/>
        <v>59850</v>
      </c>
      <c r="BH114" s="123">
        <f t="shared" si="106"/>
        <v>59850</v>
      </c>
      <c r="BI114" s="123">
        <f t="shared" si="106"/>
        <v>59850</v>
      </c>
      <c r="BJ114" s="123">
        <f t="shared" si="106"/>
        <v>59850</v>
      </c>
      <c r="BK114" s="123">
        <f t="shared" si="106"/>
        <v>59850</v>
      </c>
      <c r="BL114" s="123">
        <f t="shared" si="106"/>
        <v>59850</v>
      </c>
      <c r="BM114" s="123">
        <f t="shared" si="106"/>
        <v>59850</v>
      </c>
      <c r="BN114" s="123">
        <f t="shared" si="106"/>
        <v>59850</v>
      </c>
      <c r="BO114" s="123">
        <f t="shared" si="106"/>
        <v>59850</v>
      </c>
      <c r="BP114" s="123">
        <f t="shared" si="106"/>
        <v>59850</v>
      </c>
      <c r="BQ114" s="123">
        <f t="shared" si="106"/>
        <v>59850</v>
      </c>
      <c r="BR114" s="123">
        <f t="shared" si="106"/>
        <v>59850</v>
      </c>
      <c r="BS114" s="92"/>
    </row>
    <row r="115" ht="13.5" customHeight="1">
      <c r="A115" s="106"/>
      <c r="B115" s="81" t="s">
        <v>324</v>
      </c>
      <c r="C115" s="119"/>
      <c r="D115" s="82"/>
      <c r="E115" s="123">
        <f t="shared" ref="E115:I115" si="107">INDEX($K115:$BR115,,MATCH(E$1,$K$2:$BR$2,0)+11)</f>
        <v>-100859.9225</v>
      </c>
      <c r="F115" s="123">
        <f t="shared" si="107"/>
        <v>-118478.3315</v>
      </c>
      <c r="G115" s="123">
        <f t="shared" si="107"/>
        <v>-108926.6835</v>
      </c>
      <c r="H115" s="123">
        <f t="shared" si="107"/>
        <v>-87763.9553</v>
      </c>
      <c r="I115" s="123">
        <f t="shared" si="107"/>
        <v>-10809.48724</v>
      </c>
      <c r="J115" s="312"/>
      <c r="K115" s="123">
        <f t="shared" ref="K115:BR115" si="108">K123+J115+K138</f>
        <v>-12320.5499</v>
      </c>
      <c r="L115" s="123">
        <f t="shared" si="108"/>
        <v>-23431.05727</v>
      </c>
      <c r="M115" s="123">
        <f t="shared" si="108"/>
        <v>-33929.26994</v>
      </c>
      <c r="N115" s="123">
        <f t="shared" si="108"/>
        <v>-43815.18792</v>
      </c>
      <c r="O115" s="123">
        <f t="shared" si="108"/>
        <v>-53088.81119</v>
      </c>
      <c r="P115" s="123">
        <f t="shared" si="108"/>
        <v>-61750.13977</v>
      </c>
      <c r="Q115" s="123">
        <f t="shared" si="108"/>
        <v>-69799.17365</v>
      </c>
      <c r="R115" s="123">
        <f t="shared" si="108"/>
        <v>-77235.91282</v>
      </c>
      <c r="S115" s="123">
        <f t="shared" si="108"/>
        <v>-84060.3573</v>
      </c>
      <c r="T115" s="123">
        <f t="shared" si="108"/>
        <v>-90272.50708</v>
      </c>
      <c r="U115" s="123">
        <f t="shared" si="108"/>
        <v>-95872.36216</v>
      </c>
      <c r="V115" s="123">
        <f t="shared" si="108"/>
        <v>-100859.9225</v>
      </c>
      <c r="W115" s="123">
        <f t="shared" si="108"/>
        <v>-105018.9285</v>
      </c>
      <c r="X115" s="123">
        <f t="shared" si="108"/>
        <v>-108548.5612</v>
      </c>
      <c r="Y115" s="123">
        <f t="shared" si="108"/>
        <v>-111448.8207</v>
      </c>
      <c r="Z115" s="123">
        <f t="shared" si="108"/>
        <v>-113719.7069</v>
      </c>
      <c r="AA115" s="123">
        <f t="shared" si="108"/>
        <v>-115361.22</v>
      </c>
      <c r="AB115" s="123">
        <f t="shared" si="108"/>
        <v>-116373.3599</v>
      </c>
      <c r="AC115" s="123">
        <f t="shared" si="108"/>
        <v>-117199.6798</v>
      </c>
      <c r="AD115" s="123">
        <f t="shared" si="108"/>
        <v>-117838.3244</v>
      </c>
      <c r="AE115" s="123">
        <f t="shared" si="108"/>
        <v>-118287.418</v>
      </c>
      <c r="AF115" s="123">
        <f t="shared" si="108"/>
        <v>-118545.0648</v>
      </c>
      <c r="AG115" s="123">
        <f t="shared" si="108"/>
        <v>-118609.3484</v>
      </c>
      <c r="AH115" s="123">
        <f t="shared" si="108"/>
        <v>-118478.3315</v>
      </c>
      <c r="AI115" s="123">
        <f t="shared" si="108"/>
        <v>-118608.413</v>
      </c>
      <c r="AJ115" s="123">
        <f t="shared" si="108"/>
        <v>-118574.3557</v>
      </c>
      <c r="AK115" s="123">
        <f t="shared" si="108"/>
        <v>-118374.9129</v>
      </c>
      <c r="AL115" s="123">
        <f t="shared" si="108"/>
        <v>-118008.8278</v>
      </c>
      <c r="AM115" s="123">
        <f t="shared" si="108"/>
        <v>-117474.8327</v>
      </c>
      <c r="AN115" s="123">
        <f t="shared" si="108"/>
        <v>-116771.6497</v>
      </c>
      <c r="AO115" s="123">
        <f t="shared" si="108"/>
        <v>-115897.9902</v>
      </c>
      <c r="AP115" s="123">
        <f t="shared" si="108"/>
        <v>-114852.5547</v>
      </c>
      <c r="AQ115" s="123">
        <f t="shared" si="108"/>
        <v>-113634.0329</v>
      </c>
      <c r="AR115" s="123">
        <f t="shared" si="108"/>
        <v>-112241.1038</v>
      </c>
      <c r="AS115" s="123">
        <f t="shared" si="108"/>
        <v>-110672.4351</v>
      </c>
      <c r="AT115" s="123">
        <f t="shared" si="108"/>
        <v>-108926.6835</v>
      </c>
      <c r="AU115" s="123">
        <f t="shared" si="108"/>
        <v>-107985.4322</v>
      </c>
      <c r="AV115" s="123">
        <f t="shared" si="108"/>
        <v>-106897.6477</v>
      </c>
      <c r="AW115" s="123">
        <f t="shared" si="108"/>
        <v>-105662.4499</v>
      </c>
      <c r="AX115" s="123">
        <f t="shared" si="108"/>
        <v>-104278.9531</v>
      </c>
      <c r="AY115" s="123">
        <f t="shared" si="108"/>
        <v>-102746.2656</v>
      </c>
      <c r="AZ115" s="123">
        <f t="shared" si="108"/>
        <v>-101063.4899</v>
      </c>
      <c r="BA115" s="123">
        <f t="shared" si="108"/>
        <v>-99229.72228</v>
      </c>
      <c r="BB115" s="123">
        <f t="shared" si="108"/>
        <v>-97244.05311</v>
      </c>
      <c r="BC115" s="123">
        <f t="shared" si="108"/>
        <v>-95105.5667</v>
      </c>
      <c r="BD115" s="123">
        <f t="shared" si="108"/>
        <v>-92813.34126</v>
      </c>
      <c r="BE115" s="123">
        <f t="shared" si="108"/>
        <v>-90366.44884</v>
      </c>
      <c r="BF115" s="123">
        <f t="shared" si="108"/>
        <v>-87763.9553</v>
      </c>
      <c r="BG115" s="123">
        <f t="shared" si="108"/>
        <v>-82235.00304</v>
      </c>
      <c r="BH115" s="123">
        <f t="shared" si="108"/>
        <v>-76548.56266</v>
      </c>
      <c r="BI115" s="123">
        <f t="shared" si="108"/>
        <v>-70703.68124</v>
      </c>
      <c r="BJ115" s="123">
        <f t="shared" si="108"/>
        <v>-64699.39947</v>
      </c>
      <c r="BK115" s="123">
        <f t="shared" si="108"/>
        <v>-58534.75166</v>
      </c>
      <c r="BL115" s="123">
        <f t="shared" si="108"/>
        <v>-52208.76569</v>
      </c>
      <c r="BM115" s="123">
        <f t="shared" si="108"/>
        <v>-45720.46295</v>
      </c>
      <c r="BN115" s="123">
        <f t="shared" si="108"/>
        <v>-39068.85831</v>
      </c>
      <c r="BO115" s="123">
        <f t="shared" si="108"/>
        <v>-32252.96006</v>
      </c>
      <c r="BP115" s="123">
        <f t="shared" si="108"/>
        <v>-25271.76989</v>
      </c>
      <c r="BQ115" s="123">
        <f t="shared" si="108"/>
        <v>-18124.28284</v>
      </c>
      <c r="BR115" s="123">
        <f t="shared" si="108"/>
        <v>-10809.48724</v>
      </c>
      <c r="BS115" s="92"/>
    </row>
    <row r="116" ht="15.75" customHeight="1">
      <c r="A116" s="80"/>
      <c r="B116" s="98" t="s">
        <v>133</v>
      </c>
      <c r="C116" s="98"/>
      <c r="D116" s="99"/>
      <c r="E116" s="300">
        <f t="shared" ref="E116:I116" si="109">INDEX($K116:$BR116,,MATCH(E$1,$K$2:$BR$2,0)+11)</f>
        <v>-41009.92255</v>
      </c>
      <c r="F116" s="300">
        <f t="shared" si="109"/>
        <v>-58628.33154</v>
      </c>
      <c r="G116" s="300">
        <f t="shared" si="109"/>
        <v>-49076.6835</v>
      </c>
      <c r="H116" s="300">
        <f t="shared" si="109"/>
        <v>-27913.9553</v>
      </c>
      <c r="I116" s="300">
        <f t="shared" si="109"/>
        <v>49040.51276</v>
      </c>
      <c r="J116" s="92"/>
      <c r="K116" s="300">
        <f t="shared" ref="K116:BR116" si="110">SUM(K114:K115)</f>
        <v>47529.4501</v>
      </c>
      <c r="L116" s="300">
        <f t="shared" si="110"/>
        <v>36418.94273</v>
      </c>
      <c r="M116" s="300">
        <f t="shared" si="110"/>
        <v>25920.73006</v>
      </c>
      <c r="N116" s="300">
        <f t="shared" si="110"/>
        <v>16034.81208</v>
      </c>
      <c r="O116" s="300">
        <f t="shared" si="110"/>
        <v>6761.188808</v>
      </c>
      <c r="P116" s="300">
        <f t="shared" si="110"/>
        <v>-1900.139769</v>
      </c>
      <c r="Q116" s="300">
        <f t="shared" si="110"/>
        <v>-9949.173646</v>
      </c>
      <c r="R116" s="300">
        <f t="shared" si="110"/>
        <v>-17385.91282</v>
      </c>
      <c r="S116" s="300">
        <f t="shared" si="110"/>
        <v>-24210.3573</v>
      </c>
      <c r="T116" s="300">
        <f t="shared" si="110"/>
        <v>-30422.50708</v>
      </c>
      <c r="U116" s="300">
        <f t="shared" si="110"/>
        <v>-36022.36216</v>
      </c>
      <c r="V116" s="300">
        <f t="shared" si="110"/>
        <v>-41009.92255</v>
      </c>
      <c r="W116" s="300">
        <f t="shared" si="110"/>
        <v>-45168.92846</v>
      </c>
      <c r="X116" s="300">
        <f t="shared" si="110"/>
        <v>-48698.56116</v>
      </c>
      <c r="Y116" s="300">
        <f t="shared" si="110"/>
        <v>-51598.82066</v>
      </c>
      <c r="Z116" s="300">
        <f t="shared" si="110"/>
        <v>-53869.70694</v>
      </c>
      <c r="AA116" s="300">
        <f t="shared" si="110"/>
        <v>-55511.22002</v>
      </c>
      <c r="AB116" s="300">
        <f t="shared" si="110"/>
        <v>-56523.35989</v>
      </c>
      <c r="AC116" s="300">
        <f t="shared" si="110"/>
        <v>-57349.67984</v>
      </c>
      <c r="AD116" s="300">
        <f t="shared" si="110"/>
        <v>-57988.3244</v>
      </c>
      <c r="AE116" s="300">
        <f t="shared" si="110"/>
        <v>-58437.41802</v>
      </c>
      <c r="AF116" s="300">
        <f t="shared" si="110"/>
        <v>-58695.06482</v>
      </c>
      <c r="AG116" s="300">
        <f t="shared" si="110"/>
        <v>-58759.34839</v>
      </c>
      <c r="AH116" s="300">
        <f t="shared" si="110"/>
        <v>-58628.33154</v>
      </c>
      <c r="AI116" s="300">
        <f t="shared" si="110"/>
        <v>-58758.41303</v>
      </c>
      <c r="AJ116" s="300">
        <f t="shared" si="110"/>
        <v>-58724.35569</v>
      </c>
      <c r="AK116" s="300">
        <f t="shared" si="110"/>
        <v>-58524.91293</v>
      </c>
      <c r="AL116" s="300">
        <f t="shared" si="110"/>
        <v>-58158.82776</v>
      </c>
      <c r="AM116" s="300">
        <f t="shared" si="110"/>
        <v>-57624.8327</v>
      </c>
      <c r="AN116" s="300">
        <f t="shared" si="110"/>
        <v>-56921.64975</v>
      </c>
      <c r="AO116" s="300">
        <f t="shared" si="110"/>
        <v>-56047.99022</v>
      </c>
      <c r="AP116" s="300">
        <f t="shared" si="110"/>
        <v>-55002.55469</v>
      </c>
      <c r="AQ116" s="300">
        <f t="shared" si="110"/>
        <v>-53784.03293</v>
      </c>
      <c r="AR116" s="300">
        <f t="shared" si="110"/>
        <v>-52391.10378</v>
      </c>
      <c r="AS116" s="300">
        <f t="shared" si="110"/>
        <v>-50822.43506</v>
      </c>
      <c r="AT116" s="300">
        <f t="shared" si="110"/>
        <v>-49076.6835</v>
      </c>
      <c r="AU116" s="300">
        <f t="shared" si="110"/>
        <v>-48135.43223</v>
      </c>
      <c r="AV116" s="300">
        <f t="shared" si="110"/>
        <v>-47047.64765</v>
      </c>
      <c r="AW116" s="300">
        <f t="shared" si="110"/>
        <v>-45812.44986</v>
      </c>
      <c r="AX116" s="300">
        <f t="shared" si="110"/>
        <v>-44428.95309</v>
      </c>
      <c r="AY116" s="300">
        <f t="shared" si="110"/>
        <v>-42896.26565</v>
      </c>
      <c r="AZ116" s="300">
        <f t="shared" si="110"/>
        <v>-41213.48992</v>
      </c>
      <c r="BA116" s="300">
        <f t="shared" si="110"/>
        <v>-39379.72228</v>
      </c>
      <c r="BB116" s="300">
        <f t="shared" si="110"/>
        <v>-37394.05311</v>
      </c>
      <c r="BC116" s="300">
        <f t="shared" si="110"/>
        <v>-35255.5667</v>
      </c>
      <c r="BD116" s="300">
        <f t="shared" si="110"/>
        <v>-32963.34126</v>
      </c>
      <c r="BE116" s="300">
        <f t="shared" si="110"/>
        <v>-30516.44884</v>
      </c>
      <c r="BF116" s="300">
        <f t="shared" si="110"/>
        <v>-27913.9553</v>
      </c>
      <c r="BG116" s="300">
        <f t="shared" si="110"/>
        <v>-22385.00304</v>
      </c>
      <c r="BH116" s="300">
        <f t="shared" si="110"/>
        <v>-16698.56266</v>
      </c>
      <c r="BI116" s="300">
        <f t="shared" si="110"/>
        <v>-10853.68124</v>
      </c>
      <c r="BJ116" s="300">
        <f t="shared" si="110"/>
        <v>-4849.399469</v>
      </c>
      <c r="BK116" s="300">
        <f t="shared" si="110"/>
        <v>1315.248336</v>
      </c>
      <c r="BL116" s="300">
        <f t="shared" si="110"/>
        <v>7641.234305</v>
      </c>
      <c r="BM116" s="300">
        <f t="shared" si="110"/>
        <v>14129.53705</v>
      </c>
      <c r="BN116" s="300">
        <f t="shared" si="110"/>
        <v>20781.14169</v>
      </c>
      <c r="BO116" s="300">
        <f t="shared" si="110"/>
        <v>27597.03994</v>
      </c>
      <c r="BP116" s="300">
        <f t="shared" si="110"/>
        <v>34578.23011</v>
      </c>
      <c r="BQ116" s="300">
        <f t="shared" si="110"/>
        <v>41725.71716</v>
      </c>
      <c r="BR116" s="300">
        <f t="shared" si="110"/>
        <v>49040.51276</v>
      </c>
      <c r="BS116" s="75"/>
    </row>
    <row r="117" ht="13.5" customHeight="1">
      <c r="A117" s="106"/>
      <c r="B117" s="292" t="s">
        <v>248</v>
      </c>
      <c r="C117" s="92"/>
      <c r="D117" s="313">
        <f>SUM(K117:BR117)</f>
        <v>0</v>
      </c>
      <c r="E117" s="93">
        <f t="shared" ref="E117:I117" si="111">ROUND(E112-E116,0)</f>
        <v>0</v>
      </c>
      <c r="F117" s="93">
        <f t="shared" si="111"/>
        <v>0</v>
      </c>
      <c r="G117" s="93">
        <f t="shared" si="111"/>
        <v>0</v>
      </c>
      <c r="H117" s="93">
        <f t="shared" si="111"/>
        <v>0</v>
      </c>
      <c r="I117" s="93">
        <f t="shared" si="111"/>
        <v>0</v>
      </c>
      <c r="J117" s="312"/>
      <c r="K117" s="93">
        <f t="shared" ref="K117:BR117" si="112">ROUND(K112-K116,0)</f>
        <v>0</v>
      </c>
      <c r="L117" s="93">
        <f t="shared" si="112"/>
        <v>0</v>
      </c>
      <c r="M117" s="93">
        <f t="shared" si="112"/>
        <v>0</v>
      </c>
      <c r="N117" s="93">
        <f t="shared" si="112"/>
        <v>0</v>
      </c>
      <c r="O117" s="93">
        <f t="shared" si="112"/>
        <v>0</v>
      </c>
      <c r="P117" s="93">
        <f t="shared" si="112"/>
        <v>0</v>
      </c>
      <c r="Q117" s="93">
        <f t="shared" si="112"/>
        <v>0</v>
      </c>
      <c r="R117" s="93">
        <f t="shared" si="112"/>
        <v>0</v>
      </c>
      <c r="S117" s="93">
        <f t="shared" si="112"/>
        <v>0</v>
      </c>
      <c r="T117" s="93">
        <f t="shared" si="112"/>
        <v>0</v>
      </c>
      <c r="U117" s="93">
        <f t="shared" si="112"/>
        <v>0</v>
      </c>
      <c r="V117" s="93">
        <f t="shared" si="112"/>
        <v>0</v>
      </c>
      <c r="W117" s="93">
        <f t="shared" si="112"/>
        <v>0</v>
      </c>
      <c r="X117" s="93">
        <f t="shared" si="112"/>
        <v>0</v>
      </c>
      <c r="Y117" s="93">
        <f t="shared" si="112"/>
        <v>0</v>
      </c>
      <c r="Z117" s="93">
        <f t="shared" si="112"/>
        <v>0</v>
      </c>
      <c r="AA117" s="93">
        <f t="shared" si="112"/>
        <v>0</v>
      </c>
      <c r="AB117" s="93">
        <f t="shared" si="112"/>
        <v>0</v>
      </c>
      <c r="AC117" s="93">
        <f t="shared" si="112"/>
        <v>0</v>
      </c>
      <c r="AD117" s="93">
        <f t="shared" si="112"/>
        <v>0</v>
      </c>
      <c r="AE117" s="93">
        <f t="shared" si="112"/>
        <v>0</v>
      </c>
      <c r="AF117" s="93">
        <f t="shared" si="112"/>
        <v>0</v>
      </c>
      <c r="AG117" s="93">
        <f t="shared" si="112"/>
        <v>0</v>
      </c>
      <c r="AH117" s="93">
        <f t="shared" si="112"/>
        <v>0</v>
      </c>
      <c r="AI117" s="93">
        <f t="shared" si="112"/>
        <v>0</v>
      </c>
      <c r="AJ117" s="93">
        <f t="shared" si="112"/>
        <v>0</v>
      </c>
      <c r="AK117" s="93">
        <f t="shared" si="112"/>
        <v>0</v>
      </c>
      <c r="AL117" s="93">
        <f t="shared" si="112"/>
        <v>0</v>
      </c>
      <c r="AM117" s="93">
        <f t="shared" si="112"/>
        <v>0</v>
      </c>
      <c r="AN117" s="93">
        <f t="shared" si="112"/>
        <v>0</v>
      </c>
      <c r="AO117" s="93">
        <f t="shared" si="112"/>
        <v>0</v>
      </c>
      <c r="AP117" s="93">
        <f t="shared" si="112"/>
        <v>0</v>
      </c>
      <c r="AQ117" s="93">
        <f t="shared" si="112"/>
        <v>0</v>
      </c>
      <c r="AR117" s="93">
        <f t="shared" si="112"/>
        <v>0</v>
      </c>
      <c r="AS117" s="93">
        <f t="shared" si="112"/>
        <v>0</v>
      </c>
      <c r="AT117" s="93">
        <f t="shared" si="112"/>
        <v>0</v>
      </c>
      <c r="AU117" s="93">
        <f t="shared" si="112"/>
        <v>0</v>
      </c>
      <c r="AV117" s="93">
        <f t="shared" si="112"/>
        <v>0</v>
      </c>
      <c r="AW117" s="93">
        <f t="shared" si="112"/>
        <v>0</v>
      </c>
      <c r="AX117" s="93">
        <f t="shared" si="112"/>
        <v>0</v>
      </c>
      <c r="AY117" s="93">
        <f t="shared" si="112"/>
        <v>0</v>
      </c>
      <c r="AZ117" s="93">
        <f t="shared" si="112"/>
        <v>0</v>
      </c>
      <c r="BA117" s="93">
        <f t="shared" si="112"/>
        <v>0</v>
      </c>
      <c r="BB117" s="93">
        <f t="shared" si="112"/>
        <v>0</v>
      </c>
      <c r="BC117" s="93">
        <f t="shared" si="112"/>
        <v>0</v>
      </c>
      <c r="BD117" s="93">
        <f t="shared" si="112"/>
        <v>0</v>
      </c>
      <c r="BE117" s="93">
        <f t="shared" si="112"/>
        <v>0</v>
      </c>
      <c r="BF117" s="93">
        <f t="shared" si="112"/>
        <v>0</v>
      </c>
      <c r="BG117" s="93">
        <f t="shared" si="112"/>
        <v>0</v>
      </c>
      <c r="BH117" s="93">
        <f t="shared" si="112"/>
        <v>0</v>
      </c>
      <c r="BI117" s="93">
        <f t="shared" si="112"/>
        <v>0</v>
      </c>
      <c r="BJ117" s="93">
        <f t="shared" si="112"/>
        <v>0</v>
      </c>
      <c r="BK117" s="93">
        <f t="shared" si="112"/>
        <v>0</v>
      </c>
      <c r="BL117" s="93">
        <f t="shared" si="112"/>
        <v>0</v>
      </c>
      <c r="BM117" s="93">
        <f t="shared" si="112"/>
        <v>0</v>
      </c>
      <c r="BN117" s="93">
        <f t="shared" si="112"/>
        <v>0</v>
      </c>
      <c r="BO117" s="93">
        <f t="shared" si="112"/>
        <v>0</v>
      </c>
      <c r="BP117" s="93">
        <f t="shared" si="112"/>
        <v>0</v>
      </c>
      <c r="BQ117" s="93">
        <f t="shared" si="112"/>
        <v>0</v>
      </c>
      <c r="BR117" s="93">
        <f t="shared" si="112"/>
        <v>0</v>
      </c>
      <c r="BS117" s="92"/>
    </row>
    <row r="118" ht="15.75" customHeight="1">
      <c r="A118" s="106"/>
      <c r="B118" s="75"/>
      <c r="C118" s="75"/>
      <c r="D118" s="75"/>
      <c r="E118" s="75"/>
      <c r="F118" s="75"/>
      <c r="G118" s="75"/>
      <c r="H118" s="75"/>
      <c r="I118" s="75"/>
      <c r="J118" s="75"/>
      <c r="K118" s="301"/>
      <c r="L118" s="301"/>
      <c r="M118" s="301"/>
      <c r="N118" s="301"/>
      <c r="O118" s="301"/>
      <c r="P118" s="301"/>
      <c r="Q118" s="301"/>
      <c r="R118" s="301"/>
      <c r="S118" s="301"/>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row>
    <row r="119" ht="15.75" customHeight="1">
      <c r="A119" s="80"/>
      <c r="B119" s="136" t="s">
        <v>46</v>
      </c>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5"/>
      <c r="BS119" s="282"/>
    </row>
    <row r="120" ht="15.75" customHeight="1">
      <c r="A120" s="106"/>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row>
    <row r="121" ht="15.75" customHeight="1">
      <c r="A121" s="80"/>
      <c r="B121" s="98" t="s">
        <v>325</v>
      </c>
      <c r="C121" s="98"/>
      <c r="D121" s="99"/>
      <c r="E121" s="300" t="str">
        <f>K121</f>
        <v/>
      </c>
      <c r="F121" s="300">
        <f t="shared" ref="F121:I121" si="113">E144</f>
        <v>12088.4427</v>
      </c>
      <c r="G121" s="300">
        <f t="shared" si="113"/>
        <v>6064.801389</v>
      </c>
      <c r="H121" s="300">
        <f t="shared" si="113"/>
        <v>35316.95947</v>
      </c>
      <c r="I121" s="300">
        <f t="shared" si="113"/>
        <v>76777.85379</v>
      </c>
      <c r="J121" s="92"/>
      <c r="K121" s="300" t="str">
        <f t="shared" ref="K121:BR121" si="114">J144</f>
        <v/>
      </c>
      <c r="L121" s="300">
        <f t="shared" si="114"/>
        <v>98240.2914</v>
      </c>
      <c r="M121" s="300">
        <f t="shared" si="114"/>
        <v>85290.70267</v>
      </c>
      <c r="N121" s="300">
        <f t="shared" si="114"/>
        <v>75696.81171</v>
      </c>
      <c r="O121" s="300">
        <f t="shared" si="114"/>
        <v>65534.67334</v>
      </c>
      <c r="P121" s="300">
        <f t="shared" si="114"/>
        <v>57275.55571</v>
      </c>
      <c r="Q121" s="300">
        <f t="shared" si="114"/>
        <v>48983.36975</v>
      </c>
      <c r="R121" s="300">
        <f t="shared" si="114"/>
        <v>38697.8534</v>
      </c>
      <c r="S121" s="300">
        <f t="shared" si="114"/>
        <v>34235.88194</v>
      </c>
      <c r="T121" s="300">
        <f t="shared" si="114"/>
        <v>26859.75723</v>
      </c>
      <c r="U121" s="300">
        <f t="shared" si="114"/>
        <v>21937.57292</v>
      </c>
      <c r="V121" s="300">
        <f t="shared" si="114"/>
        <v>15675.85368</v>
      </c>
      <c r="W121" s="300">
        <f t="shared" si="114"/>
        <v>12088.4427</v>
      </c>
      <c r="X121" s="300">
        <f t="shared" si="114"/>
        <v>8298.57941</v>
      </c>
      <c r="Y121" s="300">
        <f t="shared" si="114"/>
        <v>3941.806652</v>
      </c>
      <c r="Z121" s="300">
        <f t="shared" si="114"/>
        <v>2606.972454</v>
      </c>
      <c r="AA121" s="300">
        <f t="shared" si="114"/>
        <v>-601.2378181</v>
      </c>
      <c r="AB121" s="300">
        <f t="shared" si="114"/>
        <v>-567.1416684</v>
      </c>
      <c r="AC121" s="300">
        <f t="shared" si="114"/>
        <v>-1210.138917</v>
      </c>
      <c r="AD121" s="300">
        <f t="shared" si="114"/>
        <v>-5063.183245</v>
      </c>
      <c r="AE121" s="300">
        <f t="shared" si="114"/>
        <v>472.0975615</v>
      </c>
      <c r="AF121" s="300">
        <f t="shared" si="114"/>
        <v>125.7839606</v>
      </c>
      <c r="AG121" s="300">
        <f t="shared" si="114"/>
        <v>2892.142701</v>
      </c>
      <c r="AH121" s="300">
        <f t="shared" si="114"/>
        <v>2888.391049</v>
      </c>
      <c r="AI121" s="300">
        <f t="shared" si="114"/>
        <v>6064.801389</v>
      </c>
      <c r="AJ121" s="300">
        <f t="shared" si="114"/>
        <v>7594.454339</v>
      </c>
      <c r="AK121" s="300">
        <f t="shared" si="114"/>
        <v>7748.503306</v>
      </c>
      <c r="AL121" s="300">
        <f t="shared" si="114"/>
        <v>11137.83543</v>
      </c>
      <c r="AM121" s="300">
        <f t="shared" si="114"/>
        <v>11591.74216</v>
      </c>
      <c r="AN121" s="300">
        <f t="shared" si="114"/>
        <v>15334.83464</v>
      </c>
      <c r="AO121" s="300">
        <f t="shared" si="114"/>
        <v>17681.54868</v>
      </c>
      <c r="AP121" s="300">
        <f t="shared" si="114"/>
        <v>15047.24089</v>
      </c>
      <c r="AQ121" s="300">
        <f t="shared" si="114"/>
        <v>22877.7118</v>
      </c>
      <c r="AR121" s="300">
        <f t="shared" si="114"/>
        <v>24101.25464</v>
      </c>
      <c r="AS121" s="300">
        <f t="shared" si="114"/>
        <v>28752.7196</v>
      </c>
      <c r="AT121" s="300">
        <f t="shared" si="114"/>
        <v>30292.31516</v>
      </c>
      <c r="AU121" s="300">
        <f t="shared" si="114"/>
        <v>35316.95947</v>
      </c>
      <c r="AV121" s="300">
        <f t="shared" si="114"/>
        <v>37962.39753</v>
      </c>
      <c r="AW121" s="300">
        <f t="shared" si="114"/>
        <v>39060.26917</v>
      </c>
      <c r="AX121" s="300">
        <f t="shared" si="114"/>
        <v>43686.97843</v>
      </c>
      <c r="AY121" s="300">
        <f t="shared" si="114"/>
        <v>45053.37728</v>
      </c>
      <c r="AZ121" s="300">
        <f t="shared" si="114"/>
        <v>49995.62715</v>
      </c>
      <c r="BA121" s="300">
        <f t="shared" si="114"/>
        <v>53371.17175</v>
      </c>
      <c r="BB121" s="300">
        <f t="shared" si="114"/>
        <v>53276.76178</v>
      </c>
      <c r="BC121" s="300">
        <f t="shared" si="114"/>
        <v>60569.14239</v>
      </c>
      <c r="BD121" s="300">
        <f t="shared" si="114"/>
        <v>62620.96667</v>
      </c>
      <c r="BE121" s="300">
        <f t="shared" si="114"/>
        <v>68368.94549</v>
      </c>
      <c r="BF121" s="300">
        <f t="shared" si="114"/>
        <v>70700.6965</v>
      </c>
      <c r="BG121" s="300">
        <f t="shared" si="114"/>
        <v>76777.85379</v>
      </c>
      <c r="BH121" s="300">
        <f t="shared" si="114"/>
        <v>80278.25145</v>
      </c>
      <c r="BI121" s="300">
        <f t="shared" si="114"/>
        <v>82101.42806</v>
      </c>
      <c r="BJ121" s="300">
        <f t="shared" si="114"/>
        <v>87745.12668</v>
      </c>
      <c r="BK121" s="300">
        <f t="shared" si="114"/>
        <v>89856.70335</v>
      </c>
      <c r="BL121" s="300">
        <f t="shared" si="114"/>
        <v>95839.71753</v>
      </c>
      <c r="BM121" s="300">
        <f t="shared" si="114"/>
        <v>100124.7833</v>
      </c>
      <c r="BN121" s="300">
        <f t="shared" si="114"/>
        <v>98481.25805</v>
      </c>
      <c r="BO121" s="300">
        <f t="shared" si="114"/>
        <v>109175.265</v>
      </c>
      <c r="BP121" s="300">
        <f t="shared" si="114"/>
        <v>112023.1202</v>
      </c>
      <c r="BQ121" s="300">
        <f t="shared" si="114"/>
        <v>118872.7015</v>
      </c>
      <c r="BR121" s="300">
        <f t="shared" si="114"/>
        <v>122021.3024</v>
      </c>
      <c r="BS121" s="75"/>
    </row>
    <row r="122" ht="13.5" customHeight="1">
      <c r="A122" s="80"/>
      <c r="B122" s="92"/>
      <c r="C122" s="92"/>
      <c r="D122" s="92"/>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314"/>
      <c r="AD122" s="314"/>
      <c r="AE122" s="314"/>
      <c r="AF122" s="314"/>
      <c r="AG122" s="314"/>
      <c r="AH122" s="314"/>
      <c r="AI122" s="314"/>
      <c r="AJ122" s="314"/>
      <c r="AK122" s="314"/>
      <c r="AL122" s="314"/>
      <c r="AM122" s="314"/>
      <c r="AN122" s="314"/>
      <c r="AO122" s="314"/>
      <c r="AP122" s="314"/>
      <c r="AQ122" s="314"/>
      <c r="AR122" s="314"/>
      <c r="AS122" s="314"/>
      <c r="AT122" s="314"/>
      <c r="AU122" s="314"/>
      <c r="AV122" s="314"/>
      <c r="AW122" s="314"/>
      <c r="AX122" s="314"/>
      <c r="AY122" s="314"/>
      <c r="AZ122" s="314"/>
      <c r="BA122" s="314"/>
      <c r="BB122" s="314"/>
      <c r="BC122" s="314"/>
      <c r="BD122" s="314"/>
      <c r="BE122" s="314"/>
      <c r="BF122" s="314"/>
      <c r="BG122" s="314"/>
      <c r="BH122" s="314"/>
      <c r="BI122" s="314"/>
      <c r="BJ122" s="314"/>
      <c r="BK122" s="314"/>
      <c r="BL122" s="314"/>
      <c r="BM122" s="314"/>
      <c r="BN122" s="314"/>
      <c r="BO122" s="314"/>
      <c r="BP122" s="314"/>
      <c r="BQ122" s="314"/>
      <c r="BR122" s="314"/>
      <c r="BS122" s="92"/>
    </row>
    <row r="123" ht="15.75" customHeight="1">
      <c r="A123" s="80"/>
      <c r="B123" s="298" t="s">
        <v>326</v>
      </c>
      <c r="C123" s="131"/>
      <c r="D123" s="102"/>
      <c r="E123" s="132">
        <f t="shared" ref="E123:I123" si="115">SUMIF($K$2:$BR$2,E$1,$K123:$BR123)</f>
        <v>-100859.9225</v>
      </c>
      <c r="F123" s="132">
        <f t="shared" si="115"/>
        <v>-17618.40899</v>
      </c>
      <c r="G123" s="132">
        <f t="shared" si="115"/>
        <v>9551.648035</v>
      </c>
      <c r="H123" s="132">
        <f t="shared" si="115"/>
        <v>21162.7282</v>
      </c>
      <c r="I123" s="132">
        <f t="shared" si="115"/>
        <v>76954.46806</v>
      </c>
      <c r="J123" s="92"/>
      <c r="K123" s="132">
        <f t="shared" ref="K123:BR123" si="116">K$87</f>
        <v>-12320.5499</v>
      </c>
      <c r="L123" s="132">
        <f t="shared" si="116"/>
        <v>-11110.50737</v>
      </c>
      <c r="M123" s="132">
        <f t="shared" si="116"/>
        <v>-10498.21267</v>
      </c>
      <c r="N123" s="132">
        <f t="shared" si="116"/>
        <v>-9885.917975</v>
      </c>
      <c r="O123" s="132">
        <f t="shared" si="116"/>
        <v>-9273.623275</v>
      </c>
      <c r="P123" s="132">
        <f t="shared" si="116"/>
        <v>-8661.328576</v>
      </c>
      <c r="Q123" s="132">
        <f t="shared" si="116"/>
        <v>-8049.033877</v>
      </c>
      <c r="R123" s="132">
        <f t="shared" si="116"/>
        <v>-7436.739178</v>
      </c>
      <c r="S123" s="132">
        <f t="shared" si="116"/>
        <v>-6824.444479</v>
      </c>
      <c r="T123" s="132">
        <f t="shared" si="116"/>
        <v>-6212.14978</v>
      </c>
      <c r="U123" s="132">
        <f t="shared" si="116"/>
        <v>-5599.855081</v>
      </c>
      <c r="V123" s="132">
        <f t="shared" si="116"/>
        <v>-4987.560382</v>
      </c>
      <c r="W123" s="132">
        <f t="shared" si="116"/>
        <v>-4159.005912</v>
      </c>
      <c r="X123" s="132">
        <f t="shared" si="116"/>
        <v>-3529.632703</v>
      </c>
      <c r="Y123" s="132">
        <f t="shared" si="116"/>
        <v>-2900.259495</v>
      </c>
      <c r="Z123" s="132">
        <f t="shared" si="116"/>
        <v>-2270.886287</v>
      </c>
      <c r="AA123" s="132">
        <f t="shared" si="116"/>
        <v>-1641.513078</v>
      </c>
      <c r="AB123" s="132">
        <f t="shared" si="116"/>
        <v>-1012.13987</v>
      </c>
      <c r="AC123" s="132">
        <f t="shared" si="116"/>
        <v>-826.319945</v>
      </c>
      <c r="AD123" s="132">
        <f t="shared" si="116"/>
        <v>-638.644562</v>
      </c>
      <c r="AE123" s="132">
        <f t="shared" si="116"/>
        <v>-449.0936201</v>
      </c>
      <c r="AF123" s="132">
        <f t="shared" si="116"/>
        <v>-257.6468008</v>
      </c>
      <c r="AG123" s="132">
        <f t="shared" si="116"/>
        <v>-64.28356552</v>
      </c>
      <c r="AH123" s="132">
        <f t="shared" si="116"/>
        <v>131.0168471</v>
      </c>
      <c r="AI123" s="132">
        <f t="shared" si="116"/>
        <v>-130.0814913</v>
      </c>
      <c r="AJ123" s="132">
        <f t="shared" si="116"/>
        <v>34.05733537</v>
      </c>
      <c r="AK123" s="132">
        <f t="shared" si="116"/>
        <v>199.4427617</v>
      </c>
      <c r="AL123" s="132">
        <f t="shared" si="116"/>
        <v>366.0851759</v>
      </c>
      <c r="AM123" s="132">
        <f t="shared" si="116"/>
        <v>533.9950529</v>
      </c>
      <c r="AN123" s="132">
        <f t="shared" si="116"/>
        <v>703.182955</v>
      </c>
      <c r="AO123" s="132">
        <f t="shared" si="116"/>
        <v>873.6595323</v>
      </c>
      <c r="AP123" s="132">
        <f t="shared" si="116"/>
        <v>1045.435524</v>
      </c>
      <c r="AQ123" s="132">
        <f t="shared" si="116"/>
        <v>1218.521758</v>
      </c>
      <c r="AR123" s="132">
        <f t="shared" si="116"/>
        <v>1392.929153</v>
      </c>
      <c r="AS123" s="132">
        <f t="shared" si="116"/>
        <v>1568.66872</v>
      </c>
      <c r="AT123" s="132">
        <f t="shared" si="116"/>
        <v>1745.751559</v>
      </c>
      <c r="AU123" s="132">
        <f t="shared" si="116"/>
        <v>941.2512748</v>
      </c>
      <c r="AV123" s="132">
        <f t="shared" si="116"/>
        <v>1087.784576</v>
      </c>
      <c r="AW123" s="132">
        <f t="shared" si="116"/>
        <v>1235.197787</v>
      </c>
      <c r="AX123" s="132">
        <f t="shared" si="116"/>
        <v>1383.496774</v>
      </c>
      <c r="AY123" s="132">
        <f t="shared" si="116"/>
        <v>1532.687441</v>
      </c>
      <c r="AZ123" s="132">
        <f t="shared" si="116"/>
        <v>1682.775734</v>
      </c>
      <c r="BA123" s="132">
        <f t="shared" si="116"/>
        <v>1833.767636</v>
      </c>
      <c r="BB123" s="132">
        <f t="shared" si="116"/>
        <v>1985.669171</v>
      </c>
      <c r="BC123" s="132">
        <f t="shared" si="116"/>
        <v>2138.486405</v>
      </c>
      <c r="BD123" s="132">
        <f t="shared" si="116"/>
        <v>2292.22544</v>
      </c>
      <c r="BE123" s="132">
        <f t="shared" si="116"/>
        <v>2446.892424</v>
      </c>
      <c r="BF123" s="132">
        <f t="shared" si="116"/>
        <v>2602.493541</v>
      </c>
      <c r="BG123" s="132">
        <f t="shared" si="116"/>
        <v>5528.952263</v>
      </c>
      <c r="BH123" s="132">
        <f t="shared" si="116"/>
        <v>5686.440373</v>
      </c>
      <c r="BI123" s="132">
        <f t="shared" si="116"/>
        <v>5844.881424</v>
      </c>
      <c r="BJ123" s="132">
        <f t="shared" si="116"/>
        <v>6004.28177</v>
      </c>
      <c r="BK123" s="132">
        <f t="shared" si="116"/>
        <v>6164.647806</v>
      </c>
      <c r="BL123" s="132">
        <f t="shared" si="116"/>
        <v>6325.985969</v>
      </c>
      <c r="BM123" s="132">
        <f t="shared" si="116"/>
        <v>6488.302741</v>
      </c>
      <c r="BN123" s="132">
        <f t="shared" si="116"/>
        <v>6651.604646</v>
      </c>
      <c r="BO123" s="132">
        <f t="shared" si="116"/>
        <v>6815.89825</v>
      </c>
      <c r="BP123" s="132">
        <f t="shared" si="116"/>
        <v>6981.190167</v>
      </c>
      <c r="BQ123" s="132">
        <f t="shared" si="116"/>
        <v>7147.48705</v>
      </c>
      <c r="BR123" s="132">
        <f t="shared" si="116"/>
        <v>7314.7956</v>
      </c>
      <c r="BS123" s="75"/>
    </row>
    <row r="124" ht="13.5" customHeight="1">
      <c r="A124" s="80"/>
      <c r="B124" s="315" t="s">
        <v>327</v>
      </c>
      <c r="C124" s="119"/>
      <c r="D124" s="92"/>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c r="AA124" s="314"/>
      <c r="AB124" s="314"/>
      <c r="AC124" s="314"/>
      <c r="AD124" s="314"/>
      <c r="AE124" s="314"/>
      <c r="AF124" s="314"/>
      <c r="AG124" s="314"/>
      <c r="AH124" s="314"/>
      <c r="AI124" s="314"/>
      <c r="AJ124" s="314"/>
      <c r="AK124" s="314"/>
      <c r="AL124" s="314"/>
      <c r="AM124" s="314"/>
      <c r="AN124" s="314"/>
      <c r="AO124" s="314"/>
      <c r="AP124" s="314"/>
      <c r="AQ124" s="314"/>
      <c r="AR124" s="314"/>
      <c r="AS124" s="314"/>
      <c r="AT124" s="314"/>
      <c r="AU124" s="314"/>
      <c r="AV124" s="314"/>
      <c r="AW124" s="314"/>
      <c r="AX124" s="314"/>
      <c r="AY124" s="314"/>
      <c r="AZ124" s="314"/>
      <c r="BA124" s="314"/>
      <c r="BB124" s="314"/>
      <c r="BC124" s="314"/>
      <c r="BD124" s="314"/>
      <c r="BE124" s="314"/>
      <c r="BF124" s="314"/>
      <c r="BG124" s="314"/>
      <c r="BH124" s="314"/>
      <c r="BI124" s="314"/>
      <c r="BJ124" s="314"/>
      <c r="BK124" s="314"/>
      <c r="BL124" s="314"/>
      <c r="BM124" s="314"/>
      <c r="BN124" s="314"/>
      <c r="BO124" s="314"/>
      <c r="BP124" s="314"/>
      <c r="BQ124" s="314"/>
      <c r="BR124" s="314"/>
      <c r="BS124" s="92"/>
    </row>
    <row r="125" ht="13.5" customHeight="1">
      <c r="A125" s="80"/>
      <c r="B125" s="92" t="s">
        <v>328</v>
      </c>
      <c r="C125" s="119"/>
      <c r="D125" s="82"/>
      <c r="E125" s="123">
        <f t="shared" ref="E125:I125" si="117">SUMIFS($K125:$BR125,$K$2:$BR$2,E$1)</f>
        <v>44456.25</v>
      </c>
      <c r="F125" s="123">
        <f t="shared" si="117"/>
        <v>44456.25</v>
      </c>
      <c r="G125" s="123">
        <f t="shared" si="117"/>
        <v>44456.25</v>
      </c>
      <c r="H125" s="123">
        <f t="shared" si="117"/>
        <v>44456.25</v>
      </c>
      <c r="I125" s="123">
        <f t="shared" si="117"/>
        <v>0</v>
      </c>
      <c r="J125" s="314"/>
      <c r="K125" s="123">
        <f t="shared" ref="K125:BR125" si="118">-K$73</f>
        <v>3704.6875</v>
      </c>
      <c r="L125" s="123">
        <f t="shared" si="118"/>
        <v>3704.6875</v>
      </c>
      <c r="M125" s="123">
        <f t="shared" si="118"/>
        <v>3704.6875</v>
      </c>
      <c r="N125" s="123">
        <f t="shared" si="118"/>
        <v>3704.6875</v>
      </c>
      <c r="O125" s="123">
        <f t="shared" si="118"/>
        <v>3704.6875</v>
      </c>
      <c r="P125" s="123">
        <f t="shared" si="118"/>
        <v>3704.6875</v>
      </c>
      <c r="Q125" s="123">
        <f t="shared" si="118"/>
        <v>3704.6875</v>
      </c>
      <c r="R125" s="123">
        <f t="shared" si="118"/>
        <v>3704.6875</v>
      </c>
      <c r="S125" s="123">
        <f t="shared" si="118"/>
        <v>3704.6875</v>
      </c>
      <c r="T125" s="123">
        <f t="shared" si="118"/>
        <v>3704.6875</v>
      </c>
      <c r="U125" s="123">
        <f t="shared" si="118"/>
        <v>3704.6875</v>
      </c>
      <c r="V125" s="123">
        <f t="shared" si="118"/>
        <v>3704.6875</v>
      </c>
      <c r="W125" s="123">
        <f t="shared" si="118"/>
        <v>3704.6875</v>
      </c>
      <c r="X125" s="123">
        <f t="shared" si="118"/>
        <v>3704.6875</v>
      </c>
      <c r="Y125" s="123">
        <f t="shared" si="118"/>
        <v>3704.6875</v>
      </c>
      <c r="Z125" s="123">
        <f t="shared" si="118"/>
        <v>3704.6875</v>
      </c>
      <c r="AA125" s="123">
        <f t="shared" si="118"/>
        <v>3704.6875</v>
      </c>
      <c r="AB125" s="123">
        <f t="shared" si="118"/>
        <v>3704.6875</v>
      </c>
      <c r="AC125" s="123">
        <f t="shared" si="118"/>
        <v>3704.6875</v>
      </c>
      <c r="AD125" s="123">
        <f t="shared" si="118"/>
        <v>3704.6875</v>
      </c>
      <c r="AE125" s="123">
        <f t="shared" si="118"/>
        <v>3704.6875</v>
      </c>
      <c r="AF125" s="123">
        <f t="shared" si="118"/>
        <v>3704.6875</v>
      </c>
      <c r="AG125" s="123">
        <f t="shared" si="118"/>
        <v>3704.6875</v>
      </c>
      <c r="AH125" s="123">
        <f t="shared" si="118"/>
        <v>3704.6875</v>
      </c>
      <c r="AI125" s="123">
        <f t="shared" si="118"/>
        <v>3704.6875</v>
      </c>
      <c r="AJ125" s="123">
        <f t="shared" si="118"/>
        <v>3704.6875</v>
      </c>
      <c r="AK125" s="123">
        <f t="shared" si="118"/>
        <v>3704.6875</v>
      </c>
      <c r="AL125" s="123">
        <f t="shared" si="118"/>
        <v>3704.6875</v>
      </c>
      <c r="AM125" s="123">
        <f t="shared" si="118"/>
        <v>3704.6875</v>
      </c>
      <c r="AN125" s="123">
        <f t="shared" si="118"/>
        <v>3704.6875</v>
      </c>
      <c r="AO125" s="123">
        <f t="shared" si="118"/>
        <v>3704.6875</v>
      </c>
      <c r="AP125" s="123">
        <f t="shared" si="118"/>
        <v>3704.6875</v>
      </c>
      <c r="AQ125" s="123">
        <f t="shared" si="118"/>
        <v>3704.6875</v>
      </c>
      <c r="AR125" s="123">
        <f t="shared" si="118"/>
        <v>3704.6875</v>
      </c>
      <c r="AS125" s="123">
        <f t="shared" si="118"/>
        <v>3704.6875</v>
      </c>
      <c r="AT125" s="123">
        <f t="shared" si="118"/>
        <v>3704.6875</v>
      </c>
      <c r="AU125" s="123">
        <f t="shared" si="118"/>
        <v>3704.6875</v>
      </c>
      <c r="AV125" s="123">
        <f t="shared" si="118"/>
        <v>3704.6875</v>
      </c>
      <c r="AW125" s="123">
        <f t="shared" si="118"/>
        <v>3704.6875</v>
      </c>
      <c r="AX125" s="123">
        <f t="shared" si="118"/>
        <v>3704.6875</v>
      </c>
      <c r="AY125" s="123">
        <f t="shared" si="118"/>
        <v>3704.6875</v>
      </c>
      <c r="AZ125" s="123">
        <f t="shared" si="118"/>
        <v>3704.6875</v>
      </c>
      <c r="BA125" s="123">
        <f t="shared" si="118"/>
        <v>3704.6875</v>
      </c>
      <c r="BB125" s="123">
        <f t="shared" si="118"/>
        <v>3704.6875</v>
      </c>
      <c r="BC125" s="123">
        <f t="shared" si="118"/>
        <v>3704.6875</v>
      </c>
      <c r="BD125" s="123">
        <f t="shared" si="118"/>
        <v>3704.6875</v>
      </c>
      <c r="BE125" s="123">
        <f t="shared" si="118"/>
        <v>3704.6875</v>
      </c>
      <c r="BF125" s="123">
        <f t="shared" si="118"/>
        <v>3704.6875</v>
      </c>
      <c r="BG125" s="123">
        <f t="shared" si="118"/>
        <v>0</v>
      </c>
      <c r="BH125" s="123">
        <f t="shared" si="118"/>
        <v>0</v>
      </c>
      <c r="BI125" s="123">
        <f t="shared" si="118"/>
        <v>0</v>
      </c>
      <c r="BJ125" s="123">
        <f t="shared" si="118"/>
        <v>0</v>
      </c>
      <c r="BK125" s="123">
        <f t="shared" si="118"/>
        <v>0</v>
      </c>
      <c r="BL125" s="123">
        <f t="shared" si="118"/>
        <v>0</v>
      </c>
      <c r="BM125" s="123">
        <f t="shared" si="118"/>
        <v>0</v>
      </c>
      <c r="BN125" s="123">
        <f t="shared" si="118"/>
        <v>0</v>
      </c>
      <c r="BO125" s="123">
        <f t="shared" si="118"/>
        <v>0</v>
      </c>
      <c r="BP125" s="123">
        <f t="shared" si="118"/>
        <v>0</v>
      </c>
      <c r="BQ125" s="123">
        <f t="shared" si="118"/>
        <v>0</v>
      </c>
      <c r="BR125" s="123">
        <f t="shared" si="118"/>
        <v>0</v>
      </c>
      <c r="BS125" s="92"/>
    </row>
    <row r="126" ht="13.5" customHeight="1">
      <c r="A126" s="80"/>
      <c r="B126" s="315" t="s">
        <v>329</v>
      </c>
      <c r="C126" s="119"/>
      <c r="D126" s="92"/>
      <c r="E126" s="123"/>
      <c r="F126" s="123"/>
      <c r="G126" s="123"/>
      <c r="H126" s="123"/>
      <c r="I126" s="123"/>
      <c r="J126" s="314"/>
      <c r="K126" s="314"/>
      <c r="L126" s="314"/>
      <c r="M126" s="314"/>
      <c r="N126" s="314"/>
      <c r="O126" s="314"/>
      <c r="P126" s="314"/>
      <c r="Q126" s="314"/>
      <c r="R126" s="314"/>
      <c r="S126" s="314"/>
      <c r="T126" s="314"/>
      <c r="U126" s="314"/>
      <c r="V126" s="314"/>
      <c r="W126" s="314"/>
      <c r="X126" s="314"/>
      <c r="Y126" s="314"/>
      <c r="Z126" s="314"/>
      <c r="AA126" s="314"/>
      <c r="AB126" s="314"/>
      <c r="AC126" s="314"/>
      <c r="AD126" s="314"/>
      <c r="AE126" s="314"/>
      <c r="AF126" s="314"/>
      <c r="AG126" s="314"/>
      <c r="AH126" s="314"/>
      <c r="AI126" s="314"/>
      <c r="AJ126" s="314"/>
      <c r="AK126" s="314"/>
      <c r="AL126" s="314"/>
      <c r="AM126" s="314"/>
      <c r="AN126" s="314"/>
      <c r="AO126" s="314"/>
      <c r="AP126" s="314"/>
      <c r="AQ126" s="314"/>
      <c r="AR126" s="314"/>
      <c r="AS126" s="314"/>
      <c r="AT126" s="314"/>
      <c r="AU126" s="314"/>
      <c r="AV126" s="314"/>
      <c r="AW126" s="314"/>
      <c r="AX126" s="314"/>
      <c r="AY126" s="314"/>
      <c r="AZ126" s="314"/>
      <c r="BA126" s="314"/>
      <c r="BB126" s="314"/>
      <c r="BC126" s="314"/>
      <c r="BD126" s="314"/>
      <c r="BE126" s="314"/>
      <c r="BF126" s="314"/>
      <c r="BG126" s="314"/>
      <c r="BH126" s="314"/>
      <c r="BI126" s="314"/>
      <c r="BJ126" s="314"/>
      <c r="BK126" s="314"/>
      <c r="BL126" s="314"/>
      <c r="BM126" s="314"/>
      <c r="BN126" s="314"/>
      <c r="BO126" s="314"/>
      <c r="BP126" s="314"/>
      <c r="BQ126" s="314"/>
      <c r="BR126" s="314"/>
      <c r="BS126" s="92"/>
    </row>
    <row r="127" ht="13.5" customHeight="1">
      <c r="A127" s="80"/>
      <c r="B127" s="92" t="s">
        <v>330</v>
      </c>
      <c r="C127" s="119"/>
      <c r="D127" s="82"/>
      <c r="E127" s="123">
        <f t="shared" ref="E127:I127" si="119">SUMIFS($K127:$BR127,$K$2:$BR$2,E$1)</f>
        <v>-32582.96237</v>
      </c>
      <c r="F127" s="123">
        <f t="shared" si="119"/>
        <v>-12754.92867</v>
      </c>
      <c r="G127" s="123">
        <f t="shared" si="119"/>
        <v>-4747.469642</v>
      </c>
      <c r="H127" s="123">
        <f t="shared" si="119"/>
        <v>-4157.060235</v>
      </c>
      <c r="I127" s="123">
        <f t="shared" si="119"/>
        <v>-4502.094184</v>
      </c>
      <c r="J127" s="311"/>
      <c r="K127" s="311">
        <f>-K166</f>
        <v>-12749.85484</v>
      </c>
      <c r="L127" s="311">
        <f t="shared" ref="L127:BR127" si="120">K166-L166</f>
        <v>-3840.697013</v>
      </c>
      <c r="M127" s="311">
        <f t="shared" si="120"/>
        <v>-1117.579869</v>
      </c>
      <c r="N127" s="311">
        <f t="shared" si="120"/>
        <v>-2298.121983</v>
      </c>
      <c r="O127" s="311">
        <f t="shared" si="120"/>
        <v>-1007.395938</v>
      </c>
      <c r="P127" s="311">
        <f t="shared" si="120"/>
        <v>-1652.758961</v>
      </c>
      <c r="Q127" s="311">
        <f t="shared" si="120"/>
        <v>-4258.384057</v>
      </c>
      <c r="R127" s="311">
        <f t="shared" si="120"/>
        <v>952.8661354</v>
      </c>
      <c r="S127" s="311">
        <f t="shared" si="120"/>
        <v>-2573.58181</v>
      </c>
      <c r="T127" s="311">
        <f t="shared" si="120"/>
        <v>-731.9361111</v>
      </c>
      <c r="U127" s="311">
        <f t="shared" si="120"/>
        <v>-2683.765741</v>
      </c>
      <c r="V127" s="311">
        <f t="shared" si="120"/>
        <v>-621.7521804</v>
      </c>
      <c r="W127" s="311">
        <f t="shared" si="120"/>
        <v>-1652.758961</v>
      </c>
      <c r="X127" s="311">
        <f t="shared" si="120"/>
        <v>-2849.041637</v>
      </c>
      <c r="Y127" s="311">
        <f t="shared" si="120"/>
        <v>-456.4762843</v>
      </c>
      <c r="Z127" s="311">
        <f t="shared" si="120"/>
        <v>-2959.225568</v>
      </c>
      <c r="AA127" s="311">
        <f t="shared" si="120"/>
        <v>-346.2923536</v>
      </c>
      <c r="AB127" s="311">
        <f t="shared" si="120"/>
        <v>-1652.758961</v>
      </c>
      <c r="AC127" s="311">
        <f t="shared" si="120"/>
        <v>-5063.260805</v>
      </c>
      <c r="AD127" s="311">
        <f t="shared" si="120"/>
        <v>4137.450166</v>
      </c>
      <c r="AE127" s="311">
        <f t="shared" si="120"/>
        <v>-1933.6333</v>
      </c>
      <c r="AF127" s="311">
        <f t="shared" si="120"/>
        <v>987.6547757</v>
      </c>
      <c r="AG127" s="311">
        <f t="shared" si="120"/>
        <v>-1975.755622</v>
      </c>
      <c r="AH127" s="311">
        <f t="shared" si="120"/>
        <v>1009.169875</v>
      </c>
      <c r="AI127" s="311">
        <f t="shared" si="120"/>
        <v>-377.8157587</v>
      </c>
      <c r="AJ127" s="311">
        <f t="shared" si="120"/>
        <v>-1917.519924</v>
      </c>
      <c r="AK127" s="311">
        <f t="shared" si="120"/>
        <v>1152.416776</v>
      </c>
      <c r="AL127" s="311">
        <f t="shared" si="120"/>
        <v>-1949.611751</v>
      </c>
      <c r="AM127" s="311">
        <f t="shared" si="120"/>
        <v>1171.703751</v>
      </c>
      <c r="AN127" s="311">
        <f t="shared" si="120"/>
        <v>-393.8226496</v>
      </c>
      <c r="AO127" s="311">
        <f t="shared" si="120"/>
        <v>-5545.280766</v>
      </c>
      <c r="AP127" s="311">
        <f t="shared" si="120"/>
        <v>4747.762552</v>
      </c>
      <c r="AQ127" s="311">
        <f t="shared" si="120"/>
        <v>-2032.2108</v>
      </c>
      <c r="AR127" s="311">
        <f t="shared" si="120"/>
        <v>1221.345233</v>
      </c>
      <c r="AS127" s="311">
        <f t="shared" si="120"/>
        <v>-2066.222106</v>
      </c>
      <c r="AT127" s="311">
        <f t="shared" si="120"/>
        <v>1241.785802</v>
      </c>
      <c r="AU127" s="311">
        <f t="shared" si="120"/>
        <v>-333.9024046</v>
      </c>
      <c r="AV127" s="311">
        <f t="shared" si="120"/>
        <v>-2027.974804</v>
      </c>
      <c r="AW127" s="311">
        <f t="shared" si="120"/>
        <v>1353.477107</v>
      </c>
      <c r="AX127" s="311">
        <f t="shared" si="120"/>
        <v>-2055.1046</v>
      </c>
      <c r="AY127" s="311">
        <f t="shared" si="120"/>
        <v>1371.583623</v>
      </c>
      <c r="AZ127" s="311">
        <f t="shared" si="120"/>
        <v>-345.1818784</v>
      </c>
      <c r="BA127" s="311">
        <f t="shared" si="120"/>
        <v>-3966.100107</v>
      </c>
      <c r="BB127" s="311">
        <f t="shared" si="120"/>
        <v>3268.817371</v>
      </c>
      <c r="BC127" s="311">
        <f t="shared" si="120"/>
        <v>-2124.527576</v>
      </c>
      <c r="BD127" s="311">
        <f t="shared" si="120"/>
        <v>1417.916747</v>
      </c>
      <c r="BE127" s="311">
        <f t="shared" si="120"/>
        <v>-2152.949034</v>
      </c>
      <c r="BF127" s="311">
        <f t="shared" si="120"/>
        <v>1436.885322</v>
      </c>
      <c r="BG127" s="311">
        <f t="shared" si="120"/>
        <v>-361.6161395</v>
      </c>
      <c r="BH127" s="311">
        <f t="shared" si="120"/>
        <v>-2196.295713</v>
      </c>
      <c r="BI127" s="311">
        <f t="shared" si="120"/>
        <v>1465.815039</v>
      </c>
      <c r="BJ127" s="311">
        <f t="shared" si="120"/>
        <v>-2225.677269</v>
      </c>
      <c r="BK127" s="311">
        <f t="shared" si="120"/>
        <v>1485.424387</v>
      </c>
      <c r="BL127" s="311">
        <f t="shared" si="120"/>
        <v>-373.8318041</v>
      </c>
      <c r="BM127" s="311">
        <f t="shared" si="120"/>
        <v>-6464.708991</v>
      </c>
      <c r="BN127" s="311">
        <f t="shared" si="120"/>
        <v>5709.552132</v>
      </c>
      <c r="BO127" s="311">
        <f t="shared" si="120"/>
        <v>-2300.862318</v>
      </c>
      <c r="BP127" s="311">
        <f t="shared" si="120"/>
        <v>1535.603138</v>
      </c>
      <c r="BQ127" s="311">
        <f t="shared" si="120"/>
        <v>-2331.642742</v>
      </c>
      <c r="BR127" s="311">
        <f t="shared" si="120"/>
        <v>1556.146095</v>
      </c>
      <c r="BS127" s="311"/>
    </row>
    <row r="128" ht="13.5" customHeight="1">
      <c r="A128" s="80"/>
      <c r="B128" s="92" t="s">
        <v>206</v>
      </c>
      <c r="C128" s="119"/>
      <c r="D128" s="82"/>
      <c r="E128" s="123">
        <f t="shared" ref="E128:I128" si="121">SUMIFS($K128:$BR128,$K$2:$BR$2,E$1)</f>
        <v>20853.09591</v>
      </c>
      <c r="F128" s="123">
        <f t="shared" si="121"/>
        <v>8163.154352</v>
      </c>
      <c r="G128" s="123">
        <f t="shared" si="121"/>
        <v>3038.380571</v>
      </c>
      <c r="H128" s="123">
        <f t="shared" si="121"/>
        <v>2660.51855</v>
      </c>
      <c r="I128" s="123">
        <f t="shared" si="121"/>
        <v>2881.340278</v>
      </c>
      <c r="J128" s="311"/>
      <c r="K128" s="311">
        <f>K180</f>
        <v>8159.907097</v>
      </c>
      <c r="L128" s="311">
        <f t="shared" ref="L128:BR128" si="122">L180-K180</f>
        <v>2115.53147</v>
      </c>
      <c r="M128" s="311">
        <f t="shared" si="122"/>
        <v>1057.765735</v>
      </c>
      <c r="N128" s="311">
        <f t="shared" si="122"/>
        <v>1057.765735</v>
      </c>
      <c r="O128" s="311">
        <f t="shared" si="122"/>
        <v>1057.765735</v>
      </c>
      <c r="P128" s="311">
        <f t="shared" si="122"/>
        <v>1057.765735</v>
      </c>
      <c r="Q128" s="311">
        <f t="shared" si="122"/>
        <v>1057.765735</v>
      </c>
      <c r="R128" s="311">
        <f t="shared" si="122"/>
        <v>1057.765735</v>
      </c>
      <c r="S128" s="311">
        <f t="shared" si="122"/>
        <v>1057.765735</v>
      </c>
      <c r="T128" s="311">
        <f t="shared" si="122"/>
        <v>1057.765735</v>
      </c>
      <c r="U128" s="311">
        <f t="shared" si="122"/>
        <v>1057.765735</v>
      </c>
      <c r="V128" s="311">
        <f t="shared" si="122"/>
        <v>1057.765735</v>
      </c>
      <c r="W128" s="311">
        <f t="shared" si="122"/>
        <v>1057.765735</v>
      </c>
      <c r="X128" s="311">
        <f t="shared" si="122"/>
        <v>1057.765735</v>
      </c>
      <c r="Y128" s="311">
        <f t="shared" si="122"/>
        <v>1057.765735</v>
      </c>
      <c r="Z128" s="311">
        <f t="shared" si="122"/>
        <v>1057.765735</v>
      </c>
      <c r="AA128" s="311">
        <f t="shared" si="122"/>
        <v>1057.765735</v>
      </c>
      <c r="AB128" s="311">
        <f t="shared" si="122"/>
        <v>1057.765735</v>
      </c>
      <c r="AC128" s="311">
        <f t="shared" si="122"/>
        <v>294.6633118</v>
      </c>
      <c r="AD128" s="311">
        <f t="shared" si="122"/>
        <v>297.8554977</v>
      </c>
      <c r="AE128" s="311">
        <f t="shared" si="122"/>
        <v>301.0822656</v>
      </c>
      <c r="AF128" s="311">
        <f t="shared" si="122"/>
        <v>304.3439901</v>
      </c>
      <c r="AG128" s="311">
        <f t="shared" si="122"/>
        <v>307.64105</v>
      </c>
      <c r="AH128" s="311">
        <f t="shared" si="122"/>
        <v>310.9738281</v>
      </c>
      <c r="AI128" s="311">
        <f t="shared" si="122"/>
        <v>241.8020855</v>
      </c>
      <c r="AJ128" s="311">
        <f t="shared" si="122"/>
        <v>243.8171029</v>
      </c>
      <c r="AK128" s="311">
        <f t="shared" si="122"/>
        <v>245.8489121</v>
      </c>
      <c r="AL128" s="311">
        <f t="shared" si="122"/>
        <v>247.8976531</v>
      </c>
      <c r="AM128" s="311">
        <f t="shared" si="122"/>
        <v>249.9634668</v>
      </c>
      <c r="AN128" s="311">
        <f t="shared" si="122"/>
        <v>252.0464957</v>
      </c>
      <c r="AO128" s="311">
        <f t="shared" si="122"/>
        <v>254.1468832</v>
      </c>
      <c r="AP128" s="311">
        <f t="shared" si="122"/>
        <v>256.2647739</v>
      </c>
      <c r="AQ128" s="311">
        <f t="shared" si="122"/>
        <v>258.4003137</v>
      </c>
      <c r="AR128" s="311">
        <f t="shared" si="122"/>
        <v>260.5536496</v>
      </c>
      <c r="AS128" s="311">
        <f t="shared" si="122"/>
        <v>262.72493</v>
      </c>
      <c r="AT128" s="311">
        <f t="shared" si="122"/>
        <v>264.9143044</v>
      </c>
      <c r="AU128" s="311">
        <f t="shared" si="122"/>
        <v>213.6975389</v>
      </c>
      <c r="AV128" s="311">
        <f t="shared" si="122"/>
        <v>215.1221892</v>
      </c>
      <c r="AW128" s="311">
        <f t="shared" si="122"/>
        <v>216.5563371</v>
      </c>
      <c r="AX128" s="311">
        <f t="shared" si="122"/>
        <v>218.000046</v>
      </c>
      <c r="AY128" s="311">
        <f t="shared" si="122"/>
        <v>219.4533797</v>
      </c>
      <c r="AZ128" s="311">
        <f t="shared" si="122"/>
        <v>220.9164022</v>
      </c>
      <c r="BA128" s="311">
        <f t="shared" si="122"/>
        <v>222.3891782</v>
      </c>
      <c r="BB128" s="311">
        <f t="shared" si="122"/>
        <v>223.8717727</v>
      </c>
      <c r="BC128" s="311">
        <f t="shared" si="122"/>
        <v>225.3642512</v>
      </c>
      <c r="BD128" s="311">
        <f t="shared" si="122"/>
        <v>226.8666795</v>
      </c>
      <c r="BE128" s="311">
        <f t="shared" si="122"/>
        <v>228.3791241</v>
      </c>
      <c r="BF128" s="311">
        <f t="shared" si="122"/>
        <v>229.9016516</v>
      </c>
      <c r="BG128" s="311">
        <f t="shared" si="122"/>
        <v>231.4343292</v>
      </c>
      <c r="BH128" s="311">
        <f t="shared" si="122"/>
        <v>232.9772248</v>
      </c>
      <c r="BI128" s="311">
        <f t="shared" si="122"/>
        <v>234.5304063</v>
      </c>
      <c r="BJ128" s="311">
        <f t="shared" si="122"/>
        <v>236.0939423</v>
      </c>
      <c r="BK128" s="311">
        <f t="shared" si="122"/>
        <v>237.6679019</v>
      </c>
      <c r="BL128" s="311">
        <f t="shared" si="122"/>
        <v>239.2523546</v>
      </c>
      <c r="BM128" s="311">
        <f t="shared" si="122"/>
        <v>240.8473703</v>
      </c>
      <c r="BN128" s="311">
        <f t="shared" si="122"/>
        <v>242.4530194</v>
      </c>
      <c r="BO128" s="311">
        <f t="shared" si="122"/>
        <v>244.0693729</v>
      </c>
      <c r="BP128" s="311">
        <f t="shared" si="122"/>
        <v>245.6965021</v>
      </c>
      <c r="BQ128" s="311">
        <f t="shared" si="122"/>
        <v>247.3344787</v>
      </c>
      <c r="BR128" s="311">
        <f t="shared" si="122"/>
        <v>248.9833753</v>
      </c>
      <c r="BS128" s="92"/>
    </row>
    <row r="129" ht="13.5" customHeight="1">
      <c r="A129" s="80"/>
      <c r="B129" s="92" t="s">
        <v>207</v>
      </c>
      <c r="C129" s="119"/>
      <c r="D129" s="82"/>
      <c r="E129" s="123">
        <f t="shared" ref="E129:I129" si="123">SUMIFS($K129:$BR129,$K$2:$BR$2,E$1)</f>
        <v>0</v>
      </c>
      <c r="F129" s="123">
        <f t="shared" si="123"/>
        <v>0</v>
      </c>
      <c r="G129" s="123">
        <f t="shared" si="123"/>
        <v>0</v>
      </c>
      <c r="H129" s="123">
        <f t="shared" si="123"/>
        <v>0</v>
      </c>
      <c r="I129" s="123">
        <f t="shared" si="123"/>
        <v>0</v>
      </c>
      <c r="J129" s="311"/>
      <c r="K129" s="311">
        <f t="shared" ref="K129:BR129" si="124">K104-J104</f>
        <v>0</v>
      </c>
      <c r="L129" s="311">
        <f t="shared" si="124"/>
        <v>0</v>
      </c>
      <c r="M129" s="311">
        <f t="shared" si="124"/>
        <v>0</v>
      </c>
      <c r="N129" s="311">
        <f t="shared" si="124"/>
        <v>0</v>
      </c>
      <c r="O129" s="311">
        <f t="shared" si="124"/>
        <v>0</v>
      </c>
      <c r="P129" s="311">
        <f t="shared" si="124"/>
        <v>0</v>
      </c>
      <c r="Q129" s="311">
        <f t="shared" si="124"/>
        <v>0</v>
      </c>
      <c r="R129" s="311">
        <f t="shared" si="124"/>
        <v>0</v>
      </c>
      <c r="S129" s="311">
        <f t="shared" si="124"/>
        <v>0</v>
      </c>
      <c r="T129" s="311">
        <f t="shared" si="124"/>
        <v>0</v>
      </c>
      <c r="U129" s="311">
        <f t="shared" si="124"/>
        <v>0</v>
      </c>
      <c r="V129" s="311">
        <f t="shared" si="124"/>
        <v>0</v>
      </c>
      <c r="W129" s="311">
        <f t="shared" si="124"/>
        <v>0</v>
      </c>
      <c r="X129" s="311">
        <f t="shared" si="124"/>
        <v>0</v>
      </c>
      <c r="Y129" s="311">
        <f t="shared" si="124"/>
        <v>0</v>
      </c>
      <c r="Z129" s="311">
        <f t="shared" si="124"/>
        <v>0</v>
      </c>
      <c r="AA129" s="311">
        <f t="shared" si="124"/>
        <v>0</v>
      </c>
      <c r="AB129" s="311">
        <f t="shared" si="124"/>
        <v>0</v>
      </c>
      <c r="AC129" s="311">
        <f t="shared" si="124"/>
        <v>0</v>
      </c>
      <c r="AD129" s="311">
        <f t="shared" si="124"/>
        <v>0</v>
      </c>
      <c r="AE129" s="311">
        <f t="shared" si="124"/>
        <v>0</v>
      </c>
      <c r="AF129" s="311">
        <f t="shared" si="124"/>
        <v>0</v>
      </c>
      <c r="AG129" s="311">
        <f t="shared" si="124"/>
        <v>0</v>
      </c>
      <c r="AH129" s="311">
        <f t="shared" si="124"/>
        <v>0</v>
      </c>
      <c r="AI129" s="311">
        <f t="shared" si="124"/>
        <v>0</v>
      </c>
      <c r="AJ129" s="311">
        <f t="shared" si="124"/>
        <v>0</v>
      </c>
      <c r="AK129" s="311">
        <f t="shared" si="124"/>
        <v>0</v>
      </c>
      <c r="AL129" s="311">
        <f t="shared" si="124"/>
        <v>0</v>
      </c>
      <c r="AM129" s="311">
        <f t="shared" si="124"/>
        <v>0</v>
      </c>
      <c r="AN129" s="311">
        <f t="shared" si="124"/>
        <v>0</v>
      </c>
      <c r="AO129" s="311">
        <f t="shared" si="124"/>
        <v>0</v>
      </c>
      <c r="AP129" s="311">
        <f t="shared" si="124"/>
        <v>0</v>
      </c>
      <c r="AQ129" s="311">
        <f t="shared" si="124"/>
        <v>0</v>
      </c>
      <c r="AR129" s="311">
        <f t="shared" si="124"/>
        <v>0</v>
      </c>
      <c r="AS129" s="311">
        <f t="shared" si="124"/>
        <v>0</v>
      </c>
      <c r="AT129" s="311">
        <f t="shared" si="124"/>
        <v>0</v>
      </c>
      <c r="AU129" s="311">
        <f t="shared" si="124"/>
        <v>0</v>
      </c>
      <c r="AV129" s="311">
        <f t="shared" si="124"/>
        <v>0</v>
      </c>
      <c r="AW129" s="311">
        <f t="shared" si="124"/>
        <v>0</v>
      </c>
      <c r="AX129" s="311">
        <f t="shared" si="124"/>
        <v>0</v>
      </c>
      <c r="AY129" s="311">
        <f t="shared" si="124"/>
        <v>0</v>
      </c>
      <c r="AZ129" s="311">
        <f t="shared" si="124"/>
        <v>0</v>
      </c>
      <c r="BA129" s="311">
        <f t="shared" si="124"/>
        <v>0</v>
      </c>
      <c r="BB129" s="311">
        <f t="shared" si="124"/>
        <v>0</v>
      </c>
      <c r="BC129" s="311">
        <f t="shared" si="124"/>
        <v>0</v>
      </c>
      <c r="BD129" s="311">
        <f t="shared" si="124"/>
        <v>0</v>
      </c>
      <c r="BE129" s="311">
        <f t="shared" si="124"/>
        <v>0</v>
      </c>
      <c r="BF129" s="311">
        <f t="shared" si="124"/>
        <v>0</v>
      </c>
      <c r="BG129" s="311">
        <f t="shared" si="124"/>
        <v>0</v>
      </c>
      <c r="BH129" s="311">
        <f t="shared" si="124"/>
        <v>0</v>
      </c>
      <c r="BI129" s="311">
        <f t="shared" si="124"/>
        <v>0</v>
      </c>
      <c r="BJ129" s="311">
        <f t="shared" si="124"/>
        <v>0</v>
      </c>
      <c r="BK129" s="311">
        <f t="shared" si="124"/>
        <v>0</v>
      </c>
      <c r="BL129" s="311">
        <f t="shared" si="124"/>
        <v>0</v>
      </c>
      <c r="BM129" s="311">
        <f t="shared" si="124"/>
        <v>0</v>
      </c>
      <c r="BN129" s="311">
        <f t="shared" si="124"/>
        <v>0</v>
      </c>
      <c r="BO129" s="311">
        <f t="shared" si="124"/>
        <v>0</v>
      </c>
      <c r="BP129" s="311">
        <f t="shared" si="124"/>
        <v>0</v>
      </c>
      <c r="BQ129" s="311">
        <f t="shared" si="124"/>
        <v>0</v>
      </c>
      <c r="BR129" s="311">
        <f t="shared" si="124"/>
        <v>0</v>
      </c>
      <c r="BS129" s="92"/>
    </row>
    <row r="130" ht="13.5" customHeight="1">
      <c r="A130" s="80"/>
      <c r="B130" s="92" t="s">
        <v>331</v>
      </c>
      <c r="C130" s="119"/>
      <c r="D130" s="82"/>
      <c r="E130" s="123">
        <f t="shared" ref="E130:I130" si="125">SUMIFS($K130:$BR130,$K$2:$BR$2,E$1)</f>
        <v>-21253.0183</v>
      </c>
      <c r="F130" s="123">
        <f t="shared" si="125"/>
        <v>-8319.707997</v>
      </c>
      <c r="G130" s="123">
        <f t="shared" si="125"/>
        <v>-3096.650883</v>
      </c>
      <c r="H130" s="123">
        <f t="shared" si="125"/>
        <v>-2711.542194</v>
      </c>
      <c r="I130" s="123">
        <f t="shared" si="125"/>
        <v>-2936.598859</v>
      </c>
      <c r="J130" s="311"/>
      <c r="K130" s="311">
        <f t="shared" ref="K130:BR130" si="126">J185-K185</f>
        <v>-8316.398466</v>
      </c>
      <c r="L130" s="311">
        <f t="shared" si="126"/>
        <v>-2156.103306</v>
      </c>
      <c r="M130" s="311">
        <f t="shared" si="126"/>
        <v>-1078.051653</v>
      </c>
      <c r="N130" s="311">
        <f t="shared" si="126"/>
        <v>-1078.051653</v>
      </c>
      <c r="O130" s="311">
        <f t="shared" si="126"/>
        <v>-1078.051653</v>
      </c>
      <c r="P130" s="311">
        <f t="shared" si="126"/>
        <v>-1078.051653</v>
      </c>
      <c r="Q130" s="311">
        <f t="shared" si="126"/>
        <v>-1078.051653</v>
      </c>
      <c r="R130" s="311">
        <f t="shared" si="126"/>
        <v>-1078.051653</v>
      </c>
      <c r="S130" s="311">
        <f t="shared" si="126"/>
        <v>-1078.051653</v>
      </c>
      <c r="T130" s="311">
        <f t="shared" si="126"/>
        <v>-1078.051653</v>
      </c>
      <c r="U130" s="311">
        <f t="shared" si="126"/>
        <v>-1078.051653</v>
      </c>
      <c r="V130" s="311">
        <f t="shared" si="126"/>
        <v>-1078.051653</v>
      </c>
      <c r="W130" s="311">
        <f t="shared" si="126"/>
        <v>-1078.051653</v>
      </c>
      <c r="X130" s="311">
        <f t="shared" si="126"/>
        <v>-1078.051653</v>
      </c>
      <c r="Y130" s="311">
        <f t="shared" si="126"/>
        <v>-1078.051653</v>
      </c>
      <c r="Z130" s="311">
        <f t="shared" si="126"/>
        <v>-1078.051653</v>
      </c>
      <c r="AA130" s="311">
        <f t="shared" si="126"/>
        <v>-1078.051653</v>
      </c>
      <c r="AB130" s="311">
        <f t="shared" si="126"/>
        <v>-1078.051653</v>
      </c>
      <c r="AC130" s="311">
        <f t="shared" si="126"/>
        <v>-300.314389</v>
      </c>
      <c r="AD130" s="311">
        <f t="shared" si="126"/>
        <v>-303.5677949</v>
      </c>
      <c r="AE130" s="311">
        <f t="shared" si="126"/>
        <v>-306.856446</v>
      </c>
      <c r="AF130" s="311">
        <f t="shared" si="126"/>
        <v>-310.1807242</v>
      </c>
      <c r="AG130" s="311">
        <f t="shared" si="126"/>
        <v>-313.5410154</v>
      </c>
      <c r="AH130" s="311">
        <f t="shared" si="126"/>
        <v>-316.9377097</v>
      </c>
      <c r="AI130" s="311">
        <f t="shared" si="126"/>
        <v>-246.4393858</v>
      </c>
      <c r="AJ130" s="311">
        <f t="shared" si="126"/>
        <v>-248.4930474</v>
      </c>
      <c r="AK130" s="311">
        <f t="shared" si="126"/>
        <v>-250.5638228</v>
      </c>
      <c r="AL130" s="311">
        <f t="shared" si="126"/>
        <v>-252.6518546</v>
      </c>
      <c r="AM130" s="311">
        <f t="shared" si="126"/>
        <v>-254.7572867</v>
      </c>
      <c r="AN130" s="311">
        <f t="shared" si="126"/>
        <v>-256.8802641</v>
      </c>
      <c r="AO130" s="311">
        <f t="shared" si="126"/>
        <v>-259.020933</v>
      </c>
      <c r="AP130" s="311">
        <f t="shared" si="126"/>
        <v>-261.1794408</v>
      </c>
      <c r="AQ130" s="311">
        <f t="shared" si="126"/>
        <v>-263.3559361</v>
      </c>
      <c r="AR130" s="311">
        <f t="shared" si="126"/>
        <v>-265.5505689</v>
      </c>
      <c r="AS130" s="311">
        <f t="shared" si="126"/>
        <v>-267.7634903</v>
      </c>
      <c r="AT130" s="311">
        <f t="shared" si="126"/>
        <v>-269.9948527</v>
      </c>
      <c r="AU130" s="311">
        <f t="shared" si="126"/>
        <v>-217.7958479</v>
      </c>
      <c r="AV130" s="311">
        <f t="shared" si="126"/>
        <v>-219.2478202</v>
      </c>
      <c r="AW130" s="311">
        <f t="shared" si="126"/>
        <v>-220.7094723</v>
      </c>
      <c r="AX130" s="311">
        <f t="shared" si="126"/>
        <v>-222.1808688</v>
      </c>
      <c r="AY130" s="311">
        <f t="shared" si="126"/>
        <v>-223.6620746</v>
      </c>
      <c r="AZ130" s="311">
        <f t="shared" si="126"/>
        <v>-225.1531551</v>
      </c>
      <c r="BA130" s="311">
        <f t="shared" si="126"/>
        <v>-226.6541761</v>
      </c>
      <c r="BB130" s="311">
        <f t="shared" si="126"/>
        <v>-228.165204</v>
      </c>
      <c r="BC130" s="311">
        <f t="shared" si="126"/>
        <v>-229.6863053</v>
      </c>
      <c r="BD130" s="311">
        <f t="shared" si="126"/>
        <v>-231.2175474</v>
      </c>
      <c r="BE130" s="311">
        <f t="shared" si="126"/>
        <v>-232.7589977</v>
      </c>
      <c r="BF130" s="311">
        <f t="shared" si="126"/>
        <v>-234.3107243</v>
      </c>
      <c r="BG130" s="311">
        <f t="shared" si="126"/>
        <v>-235.8727958</v>
      </c>
      <c r="BH130" s="311">
        <f t="shared" si="126"/>
        <v>-237.4452811</v>
      </c>
      <c r="BI130" s="311">
        <f t="shared" si="126"/>
        <v>-239.0282497</v>
      </c>
      <c r="BJ130" s="311">
        <f t="shared" si="126"/>
        <v>-240.6217713</v>
      </c>
      <c r="BK130" s="311">
        <f t="shared" si="126"/>
        <v>-242.2259165</v>
      </c>
      <c r="BL130" s="311">
        <f t="shared" si="126"/>
        <v>-243.8407559</v>
      </c>
      <c r="BM130" s="311">
        <f t="shared" si="126"/>
        <v>-245.466361</v>
      </c>
      <c r="BN130" s="311">
        <f t="shared" si="126"/>
        <v>-247.1028034</v>
      </c>
      <c r="BO130" s="311">
        <f t="shared" si="126"/>
        <v>-248.7501554</v>
      </c>
      <c r="BP130" s="311">
        <f t="shared" si="126"/>
        <v>-250.4084898</v>
      </c>
      <c r="BQ130" s="311">
        <f t="shared" si="126"/>
        <v>-252.0778797</v>
      </c>
      <c r="BR130" s="311">
        <f t="shared" si="126"/>
        <v>-253.7583989</v>
      </c>
      <c r="BS130" s="92"/>
    </row>
    <row r="131" ht="15.75" customHeight="1">
      <c r="A131" s="80"/>
      <c r="B131" s="298" t="s">
        <v>332</v>
      </c>
      <c r="C131" s="131"/>
      <c r="D131" s="102"/>
      <c r="E131" s="132">
        <f t="shared" ref="E131:I131" si="127">SUM(E$123:E$130)</f>
        <v>-89386.5573</v>
      </c>
      <c r="F131" s="132">
        <f t="shared" si="127"/>
        <v>13926.35869</v>
      </c>
      <c r="G131" s="132">
        <f t="shared" si="127"/>
        <v>49202.15808</v>
      </c>
      <c r="H131" s="132">
        <f t="shared" si="127"/>
        <v>61410.89433</v>
      </c>
      <c r="I131" s="132">
        <f t="shared" si="127"/>
        <v>72397.11529</v>
      </c>
      <c r="J131" s="92"/>
      <c r="K131" s="132">
        <f t="shared" ref="K131:BR131" si="128">SUM(K$123:K$130)</f>
        <v>-21522.2086</v>
      </c>
      <c r="L131" s="132">
        <f t="shared" si="128"/>
        <v>-11287.08872</v>
      </c>
      <c r="M131" s="132">
        <f t="shared" si="128"/>
        <v>-7931.39096</v>
      </c>
      <c r="N131" s="132">
        <f t="shared" si="128"/>
        <v>-8499.638376</v>
      </c>
      <c r="O131" s="132">
        <f t="shared" si="128"/>
        <v>-6596.617632</v>
      </c>
      <c r="P131" s="132">
        <f t="shared" si="128"/>
        <v>-6629.685955</v>
      </c>
      <c r="Q131" s="132">
        <f t="shared" si="128"/>
        <v>-8623.016352</v>
      </c>
      <c r="R131" s="132">
        <f t="shared" si="128"/>
        <v>-2799.471461</v>
      </c>
      <c r="S131" s="132">
        <f t="shared" si="128"/>
        <v>-5713.624707</v>
      </c>
      <c r="T131" s="132">
        <f t="shared" si="128"/>
        <v>-3259.684309</v>
      </c>
      <c r="U131" s="132">
        <f t="shared" si="128"/>
        <v>-4599.21924</v>
      </c>
      <c r="V131" s="132">
        <f t="shared" si="128"/>
        <v>-1924.910981</v>
      </c>
      <c r="W131" s="132">
        <f t="shared" si="128"/>
        <v>-2127.36329</v>
      </c>
      <c r="X131" s="132">
        <f t="shared" si="128"/>
        <v>-2694.272758</v>
      </c>
      <c r="Y131" s="132">
        <f t="shared" si="128"/>
        <v>327.6658024</v>
      </c>
      <c r="Z131" s="132">
        <f t="shared" si="128"/>
        <v>-1545.710272</v>
      </c>
      <c r="AA131" s="132">
        <f t="shared" si="128"/>
        <v>1696.59615</v>
      </c>
      <c r="AB131" s="132">
        <f t="shared" si="128"/>
        <v>1019.502751</v>
      </c>
      <c r="AC131" s="132">
        <f t="shared" si="128"/>
        <v>-2190.544328</v>
      </c>
      <c r="AD131" s="132">
        <f t="shared" si="128"/>
        <v>7197.780806</v>
      </c>
      <c r="AE131" s="132">
        <f t="shared" si="128"/>
        <v>1316.186399</v>
      </c>
      <c r="AF131" s="132">
        <f t="shared" si="128"/>
        <v>4428.858741</v>
      </c>
      <c r="AG131" s="132">
        <f t="shared" si="128"/>
        <v>1658.748347</v>
      </c>
      <c r="AH131" s="132">
        <f t="shared" si="128"/>
        <v>4838.91034</v>
      </c>
      <c r="AI131" s="132">
        <f t="shared" si="128"/>
        <v>3192.15295</v>
      </c>
      <c r="AJ131" s="132">
        <f t="shared" si="128"/>
        <v>1816.548967</v>
      </c>
      <c r="AK131" s="132">
        <f t="shared" si="128"/>
        <v>5051.832127</v>
      </c>
      <c r="AL131" s="132">
        <f t="shared" si="128"/>
        <v>2116.406724</v>
      </c>
      <c r="AM131" s="132">
        <f t="shared" si="128"/>
        <v>5405.592484</v>
      </c>
      <c r="AN131" s="132">
        <f t="shared" si="128"/>
        <v>4009.214037</v>
      </c>
      <c r="AO131" s="132">
        <f t="shared" si="128"/>
        <v>-971.8077835</v>
      </c>
      <c r="AP131" s="132">
        <f t="shared" si="128"/>
        <v>9492.970909</v>
      </c>
      <c r="AQ131" s="132">
        <f t="shared" si="128"/>
        <v>2886.042835</v>
      </c>
      <c r="AR131" s="132">
        <f t="shared" si="128"/>
        <v>6313.964967</v>
      </c>
      <c r="AS131" s="132">
        <f t="shared" si="128"/>
        <v>3202.095554</v>
      </c>
      <c r="AT131" s="132">
        <f t="shared" si="128"/>
        <v>6687.144312</v>
      </c>
      <c r="AU131" s="132">
        <f t="shared" si="128"/>
        <v>4307.938061</v>
      </c>
      <c r="AV131" s="132">
        <f t="shared" si="128"/>
        <v>2760.371641</v>
      </c>
      <c r="AW131" s="132">
        <f t="shared" si="128"/>
        <v>6289.209259</v>
      </c>
      <c r="AX131" s="132">
        <f t="shared" si="128"/>
        <v>3028.898851</v>
      </c>
      <c r="AY131" s="132">
        <f t="shared" si="128"/>
        <v>6604.749869</v>
      </c>
      <c r="AZ131" s="132">
        <f t="shared" si="128"/>
        <v>5038.044602</v>
      </c>
      <c r="BA131" s="132">
        <f t="shared" si="128"/>
        <v>1568.090031</v>
      </c>
      <c r="BB131" s="132">
        <f t="shared" si="128"/>
        <v>8954.880611</v>
      </c>
      <c r="BC131" s="132">
        <f t="shared" si="128"/>
        <v>3714.324274</v>
      </c>
      <c r="BD131" s="132">
        <f t="shared" si="128"/>
        <v>7410.47882</v>
      </c>
      <c r="BE131" s="132">
        <f t="shared" si="128"/>
        <v>3994.251016</v>
      </c>
      <c r="BF131" s="132">
        <f t="shared" si="128"/>
        <v>7739.657291</v>
      </c>
      <c r="BG131" s="132">
        <f t="shared" si="128"/>
        <v>5162.897657</v>
      </c>
      <c r="BH131" s="132">
        <f t="shared" si="128"/>
        <v>3485.676604</v>
      </c>
      <c r="BI131" s="132">
        <f t="shared" si="128"/>
        <v>7306.19862</v>
      </c>
      <c r="BJ131" s="132">
        <f t="shared" si="128"/>
        <v>3774.076672</v>
      </c>
      <c r="BK131" s="132">
        <f t="shared" si="128"/>
        <v>7645.514178</v>
      </c>
      <c r="BL131" s="132">
        <f t="shared" si="128"/>
        <v>5947.565764</v>
      </c>
      <c r="BM131" s="132">
        <f t="shared" si="128"/>
        <v>18.97475931</v>
      </c>
      <c r="BN131" s="132">
        <f t="shared" si="128"/>
        <v>12356.50699</v>
      </c>
      <c r="BO131" s="132">
        <f t="shared" si="128"/>
        <v>4510.35515</v>
      </c>
      <c r="BP131" s="132">
        <f t="shared" si="128"/>
        <v>8512.081317</v>
      </c>
      <c r="BQ131" s="132">
        <f t="shared" si="128"/>
        <v>4811.100907</v>
      </c>
      <c r="BR131" s="132">
        <f t="shared" si="128"/>
        <v>8866.166672</v>
      </c>
      <c r="BS131" s="75"/>
    </row>
    <row r="132" ht="13.5" customHeight="1">
      <c r="A132" s="80"/>
      <c r="B132" s="310"/>
      <c r="C132" s="119"/>
      <c r="D132" s="85"/>
      <c r="E132" s="93"/>
      <c r="F132" s="93"/>
      <c r="G132" s="93"/>
      <c r="H132" s="93"/>
      <c r="I132" s="93"/>
      <c r="J132" s="314"/>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2"/>
    </row>
    <row r="133" ht="13.5" customHeight="1">
      <c r="A133" s="80"/>
      <c r="B133" s="92" t="s">
        <v>333</v>
      </c>
      <c r="C133" s="119"/>
      <c r="D133" s="82"/>
      <c r="E133" s="123">
        <f t="shared" ref="E133:I133" si="129">SUMIFS($K133:$BR133,$K$2:$BR$2,E$1)</f>
        <v>-177825</v>
      </c>
      <c r="F133" s="123">
        <f t="shared" si="129"/>
        <v>0</v>
      </c>
      <c r="G133" s="123">
        <f t="shared" si="129"/>
        <v>0</v>
      </c>
      <c r="H133" s="123">
        <f t="shared" si="129"/>
        <v>0</v>
      </c>
      <c r="I133" s="123">
        <f t="shared" si="129"/>
        <v>0</v>
      </c>
      <c r="J133" s="314"/>
      <c r="K133" s="311">
        <f t="shared" ref="K133:BR133" si="130">-K$239</f>
        <v>-177825</v>
      </c>
      <c r="L133" s="311">
        <f t="shared" si="130"/>
        <v>0</v>
      </c>
      <c r="M133" s="311">
        <f t="shared" si="130"/>
        <v>0</v>
      </c>
      <c r="N133" s="311">
        <f t="shared" si="130"/>
        <v>0</v>
      </c>
      <c r="O133" s="311">
        <f t="shared" si="130"/>
        <v>0</v>
      </c>
      <c r="P133" s="311">
        <f t="shared" si="130"/>
        <v>0</v>
      </c>
      <c r="Q133" s="311">
        <f t="shared" si="130"/>
        <v>0</v>
      </c>
      <c r="R133" s="311">
        <f t="shared" si="130"/>
        <v>0</v>
      </c>
      <c r="S133" s="311">
        <f t="shared" si="130"/>
        <v>0</v>
      </c>
      <c r="T133" s="311">
        <f t="shared" si="130"/>
        <v>0</v>
      </c>
      <c r="U133" s="311">
        <f t="shared" si="130"/>
        <v>0</v>
      </c>
      <c r="V133" s="311">
        <f t="shared" si="130"/>
        <v>0</v>
      </c>
      <c r="W133" s="311">
        <f t="shared" si="130"/>
        <v>0</v>
      </c>
      <c r="X133" s="311">
        <f t="shared" si="130"/>
        <v>0</v>
      </c>
      <c r="Y133" s="311">
        <f t="shared" si="130"/>
        <v>0</v>
      </c>
      <c r="Z133" s="311">
        <f t="shared" si="130"/>
        <v>0</v>
      </c>
      <c r="AA133" s="311">
        <f t="shared" si="130"/>
        <v>0</v>
      </c>
      <c r="AB133" s="311">
        <f t="shared" si="130"/>
        <v>0</v>
      </c>
      <c r="AC133" s="311">
        <f t="shared" si="130"/>
        <v>0</v>
      </c>
      <c r="AD133" s="311">
        <f t="shared" si="130"/>
        <v>0</v>
      </c>
      <c r="AE133" s="311">
        <f t="shared" si="130"/>
        <v>0</v>
      </c>
      <c r="AF133" s="311">
        <f t="shared" si="130"/>
        <v>0</v>
      </c>
      <c r="AG133" s="311">
        <f t="shared" si="130"/>
        <v>0</v>
      </c>
      <c r="AH133" s="311">
        <f t="shared" si="130"/>
        <v>0</v>
      </c>
      <c r="AI133" s="311">
        <f t="shared" si="130"/>
        <v>0</v>
      </c>
      <c r="AJ133" s="311">
        <f t="shared" si="130"/>
        <v>0</v>
      </c>
      <c r="AK133" s="311">
        <f t="shared" si="130"/>
        <v>0</v>
      </c>
      <c r="AL133" s="311">
        <f t="shared" si="130"/>
        <v>0</v>
      </c>
      <c r="AM133" s="311">
        <f t="shared" si="130"/>
        <v>0</v>
      </c>
      <c r="AN133" s="311">
        <f t="shared" si="130"/>
        <v>0</v>
      </c>
      <c r="AO133" s="311">
        <f t="shared" si="130"/>
        <v>0</v>
      </c>
      <c r="AP133" s="311">
        <f t="shared" si="130"/>
        <v>0</v>
      </c>
      <c r="AQ133" s="311">
        <f t="shared" si="130"/>
        <v>0</v>
      </c>
      <c r="AR133" s="311">
        <f t="shared" si="130"/>
        <v>0</v>
      </c>
      <c r="AS133" s="311">
        <f t="shared" si="130"/>
        <v>0</v>
      </c>
      <c r="AT133" s="311">
        <f t="shared" si="130"/>
        <v>0</v>
      </c>
      <c r="AU133" s="311">
        <f t="shared" si="130"/>
        <v>0</v>
      </c>
      <c r="AV133" s="311">
        <f t="shared" si="130"/>
        <v>0</v>
      </c>
      <c r="AW133" s="311">
        <f t="shared" si="130"/>
        <v>0</v>
      </c>
      <c r="AX133" s="311">
        <f t="shared" si="130"/>
        <v>0</v>
      </c>
      <c r="AY133" s="311">
        <f t="shared" si="130"/>
        <v>0</v>
      </c>
      <c r="AZ133" s="311">
        <f t="shared" si="130"/>
        <v>0</v>
      </c>
      <c r="BA133" s="311">
        <f t="shared" si="130"/>
        <v>0</v>
      </c>
      <c r="BB133" s="311">
        <f t="shared" si="130"/>
        <v>0</v>
      </c>
      <c r="BC133" s="311">
        <f t="shared" si="130"/>
        <v>0</v>
      </c>
      <c r="BD133" s="311">
        <f t="shared" si="130"/>
        <v>0</v>
      </c>
      <c r="BE133" s="311">
        <f t="shared" si="130"/>
        <v>0</v>
      </c>
      <c r="BF133" s="311">
        <f t="shared" si="130"/>
        <v>0</v>
      </c>
      <c r="BG133" s="311">
        <f t="shared" si="130"/>
        <v>0</v>
      </c>
      <c r="BH133" s="311">
        <f t="shared" si="130"/>
        <v>0</v>
      </c>
      <c r="BI133" s="311">
        <f t="shared" si="130"/>
        <v>0</v>
      </c>
      <c r="BJ133" s="311">
        <f t="shared" si="130"/>
        <v>0</v>
      </c>
      <c r="BK133" s="311">
        <f t="shared" si="130"/>
        <v>0</v>
      </c>
      <c r="BL133" s="311">
        <f t="shared" si="130"/>
        <v>0</v>
      </c>
      <c r="BM133" s="311">
        <f t="shared" si="130"/>
        <v>0</v>
      </c>
      <c r="BN133" s="311">
        <f t="shared" si="130"/>
        <v>0</v>
      </c>
      <c r="BO133" s="311">
        <f t="shared" si="130"/>
        <v>0</v>
      </c>
      <c r="BP133" s="311">
        <f t="shared" si="130"/>
        <v>0</v>
      </c>
      <c r="BQ133" s="311">
        <f t="shared" si="130"/>
        <v>0</v>
      </c>
      <c r="BR133" s="311">
        <f t="shared" si="130"/>
        <v>0</v>
      </c>
      <c r="BS133" s="92"/>
    </row>
    <row r="134" ht="15.75" customHeight="1">
      <c r="A134" s="80"/>
      <c r="B134" s="298" t="s">
        <v>334</v>
      </c>
      <c r="C134" s="131"/>
      <c r="D134" s="102"/>
      <c r="E134" s="132">
        <f t="shared" ref="E134:I134" si="131">SUM(E133)</f>
        <v>-177825</v>
      </c>
      <c r="F134" s="132">
        <f t="shared" si="131"/>
        <v>0</v>
      </c>
      <c r="G134" s="132">
        <f t="shared" si="131"/>
        <v>0</v>
      </c>
      <c r="H134" s="132">
        <f t="shared" si="131"/>
        <v>0</v>
      </c>
      <c r="I134" s="132">
        <f t="shared" si="131"/>
        <v>0</v>
      </c>
      <c r="J134" s="92"/>
      <c r="K134" s="132">
        <f t="shared" ref="K134:BR134" si="132">SUM(K133)</f>
        <v>-177825</v>
      </c>
      <c r="L134" s="132">
        <f t="shared" si="132"/>
        <v>0</v>
      </c>
      <c r="M134" s="132">
        <f t="shared" si="132"/>
        <v>0</v>
      </c>
      <c r="N134" s="132">
        <f t="shared" si="132"/>
        <v>0</v>
      </c>
      <c r="O134" s="132">
        <f t="shared" si="132"/>
        <v>0</v>
      </c>
      <c r="P134" s="132">
        <f t="shared" si="132"/>
        <v>0</v>
      </c>
      <c r="Q134" s="132">
        <f t="shared" si="132"/>
        <v>0</v>
      </c>
      <c r="R134" s="132">
        <f t="shared" si="132"/>
        <v>0</v>
      </c>
      <c r="S134" s="132">
        <f t="shared" si="132"/>
        <v>0</v>
      </c>
      <c r="T134" s="132">
        <f t="shared" si="132"/>
        <v>0</v>
      </c>
      <c r="U134" s="132">
        <f t="shared" si="132"/>
        <v>0</v>
      </c>
      <c r="V134" s="132">
        <f t="shared" si="132"/>
        <v>0</v>
      </c>
      <c r="W134" s="132">
        <f t="shared" si="132"/>
        <v>0</v>
      </c>
      <c r="X134" s="132">
        <f t="shared" si="132"/>
        <v>0</v>
      </c>
      <c r="Y134" s="132">
        <f t="shared" si="132"/>
        <v>0</v>
      </c>
      <c r="Z134" s="132">
        <f t="shared" si="132"/>
        <v>0</v>
      </c>
      <c r="AA134" s="132">
        <f t="shared" si="132"/>
        <v>0</v>
      </c>
      <c r="AB134" s="132">
        <f t="shared" si="132"/>
        <v>0</v>
      </c>
      <c r="AC134" s="132">
        <f t="shared" si="132"/>
        <v>0</v>
      </c>
      <c r="AD134" s="132">
        <f t="shared" si="132"/>
        <v>0</v>
      </c>
      <c r="AE134" s="132">
        <f t="shared" si="132"/>
        <v>0</v>
      </c>
      <c r="AF134" s="132">
        <f t="shared" si="132"/>
        <v>0</v>
      </c>
      <c r="AG134" s="132">
        <f t="shared" si="132"/>
        <v>0</v>
      </c>
      <c r="AH134" s="132">
        <f t="shared" si="132"/>
        <v>0</v>
      </c>
      <c r="AI134" s="132">
        <f t="shared" si="132"/>
        <v>0</v>
      </c>
      <c r="AJ134" s="132">
        <f t="shared" si="132"/>
        <v>0</v>
      </c>
      <c r="AK134" s="132">
        <f t="shared" si="132"/>
        <v>0</v>
      </c>
      <c r="AL134" s="132">
        <f t="shared" si="132"/>
        <v>0</v>
      </c>
      <c r="AM134" s="132">
        <f t="shared" si="132"/>
        <v>0</v>
      </c>
      <c r="AN134" s="132">
        <f t="shared" si="132"/>
        <v>0</v>
      </c>
      <c r="AO134" s="132">
        <f t="shared" si="132"/>
        <v>0</v>
      </c>
      <c r="AP134" s="132">
        <f t="shared" si="132"/>
        <v>0</v>
      </c>
      <c r="AQ134" s="132">
        <f t="shared" si="132"/>
        <v>0</v>
      </c>
      <c r="AR134" s="132">
        <f t="shared" si="132"/>
        <v>0</v>
      </c>
      <c r="AS134" s="132">
        <f t="shared" si="132"/>
        <v>0</v>
      </c>
      <c r="AT134" s="132">
        <f t="shared" si="132"/>
        <v>0</v>
      </c>
      <c r="AU134" s="132">
        <f t="shared" si="132"/>
        <v>0</v>
      </c>
      <c r="AV134" s="132">
        <f t="shared" si="132"/>
        <v>0</v>
      </c>
      <c r="AW134" s="132">
        <f t="shared" si="132"/>
        <v>0</v>
      </c>
      <c r="AX134" s="132">
        <f t="shared" si="132"/>
        <v>0</v>
      </c>
      <c r="AY134" s="132">
        <f t="shared" si="132"/>
        <v>0</v>
      </c>
      <c r="AZ134" s="132">
        <f t="shared" si="132"/>
        <v>0</v>
      </c>
      <c r="BA134" s="132">
        <f t="shared" si="132"/>
        <v>0</v>
      </c>
      <c r="BB134" s="132">
        <f t="shared" si="132"/>
        <v>0</v>
      </c>
      <c r="BC134" s="132">
        <f t="shared" si="132"/>
        <v>0</v>
      </c>
      <c r="BD134" s="132">
        <f t="shared" si="132"/>
        <v>0</v>
      </c>
      <c r="BE134" s="132">
        <f t="shared" si="132"/>
        <v>0</v>
      </c>
      <c r="BF134" s="132">
        <f t="shared" si="132"/>
        <v>0</v>
      </c>
      <c r="BG134" s="132">
        <f t="shared" si="132"/>
        <v>0</v>
      </c>
      <c r="BH134" s="132">
        <f t="shared" si="132"/>
        <v>0</v>
      </c>
      <c r="BI134" s="132">
        <f t="shared" si="132"/>
        <v>0</v>
      </c>
      <c r="BJ134" s="132">
        <f t="shared" si="132"/>
        <v>0</v>
      </c>
      <c r="BK134" s="132">
        <f t="shared" si="132"/>
        <v>0</v>
      </c>
      <c r="BL134" s="132">
        <f t="shared" si="132"/>
        <v>0</v>
      </c>
      <c r="BM134" s="132">
        <f t="shared" si="132"/>
        <v>0</v>
      </c>
      <c r="BN134" s="132">
        <f t="shared" si="132"/>
        <v>0</v>
      </c>
      <c r="BO134" s="132">
        <f t="shared" si="132"/>
        <v>0</v>
      </c>
      <c r="BP134" s="132">
        <f t="shared" si="132"/>
        <v>0</v>
      </c>
      <c r="BQ134" s="132">
        <f t="shared" si="132"/>
        <v>0</v>
      </c>
      <c r="BR134" s="132">
        <f t="shared" si="132"/>
        <v>0</v>
      </c>
      <c r="BS134" s="75"/>
    </row>
    <row r="135" ht="13.5" customHeight="1">
      <c r="A135" s="80"/>
      <c r="B135" s="310"/>
      <c r="C135" s="119"/>
      <c r="D135" s="85"/>
      <c r="E135" s="93"/>
      <c r="F135" s="93"/>
      <c r="G135" s="93"/>
      <c r="H135" s="93"/>
      <c r="I135" s="93"/>
      <c r="J135" s="314"/>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2"/>
    </row>
    <row r="136" ht="13.5" customHeight="1">
      <c r="A136" s="80"/>
      <c r="B136" s="92" t="s">
        <v>335</v>
      </c>
      <c r="C136" s="119"/>
      <c r="D136" s="82"/>
      <c r="E136" s="123">
        <f t="shared" ref="E136:I136" si="133">SUMIFS($K136:$BR136,$K$2:$BR$2,E$1)</f>
        <v>239400</v>
      </c>
      <c r="F136" s="123">
        <f t="shared" si="133"/>
        <v>0</v>
      </c>
      <c r="G136" s="123">
        <f t="shared" si="133"/>
        <v>0</v>
      </c>
      <c r="H136" s="123">
        <f t="shared" si="133"/>
        <v>0</v>
      </c>
      <c r="I136" s="123">
        <f t="shared" si="133"/>
        <v>0</v>
      </c>
      <c r="J136" s="314"/>
      <c r="K136" s="123">
        <f t="shared" ref="K136:BR136" si="134">K192+K199+K206</f>
        <v>239400</v>
      </c>
      <c r="L136" s="123">
        <f t="shared" si="134"/>
        <v>0</v>
      </c>
      <c r="M136" s="123">
        <f t="shared" si="134"/>
        <v>0</v>
      </c>
      <c r="N136" s="123">
        <f t="shared" si="134"/>
        <v>0</v>
      </c>
      <c r="O136" s="123">
        <f t="shared" si="134"/>
        <v>0</v>
      </c>
      <c r="P136" s="123">
        <f t="shared" si="134"/>
        <v>0</v>
      </c>
      <c r="Q136" s="123">
        <f t="shared" si="134"/>
        <v>0</v>
      </c>
      <c r="R136" s="123">
        <f t="shared" si="134"/>
        <v>0</v>
      </c>
      <c r="S136" s="123">
        <f t="shared" si="134"/>
        <v>0</v>
      </c>
      <c r="T136" s="123">
        <f t="shared" si="134"/>
        <v>0</v>
      </c>
      <c r="U136" s="123">
        <f t="shared" si="134"/>
        <v>0</v>
      </c>
      <c r="V136" s="123">
        <f t="shared" si="134"/>
        <v>0</v>
      </c>
      <c r="W136" s="123">
        <f t="shared" si="134"/>
        <v>0</v>
      </c>
      <c r="X136" s="123">
        <f t="shared" si="134"/>
        <v>0</v>
      </c>
      <c r="Y136" s="123">
        <f t="shared" si="134"/>
        <v>0</v>
      </c>
      <c r="Z136" s="123">
        <f t="shared" si="134"/>
        <v>0</v>
      </c>
      <c r="AA136" s="123">
        <f t="shared" si="134"/>
        <v>0</v>
      </c>
      <c r="AB136" s="123">
        <f t="shared" si="134"/>
        <v>0</v>
      </c>
      <c r="AC136" s="123">
        <f t="shared" si="134"/>
        <v>0</v>
      </c>
      <c r="AD136" s="123">
        <f t="shared" si="134"/>
        <v>0</v>
      </c>
      <c r="AE136" s="123">
        <f t="shared" si="134"/>
        <v>0</v>
      </c>
      <c r="AF136" s="123">
        <f t="shared" si="134"/>
        <v>0</v>
      </c>
      <c r="AG136" s="123">
        <f t="shared" si="134"/>
        <v>0</v>
      </c>
      <c r="AH136" s="123">
        <f t="shared" si="134"/>
        <v>0</v>
      </c>
      <c r="AI136" s="123">
        <f t="shared" si="134"/>
        <v>0</v>
      </c>
      <c r="AJ136" s="123">
        <f t="shared" si="134"/>
        <v>0</v>
      </c>
      <c r="AK136" s="123">
        <f t="shared" si="134"/>
        <v>0</v>
      </c>
      <c r="AL136" s="123">
        <f t="shared" si="134"/>
        <v>0</v>
      </c>
      <c r="AM136" s="123">
        <f t="shared" si="134"/>
        <v>0</v>
      </c>
      <c r="AN136" s="123">
        <f t="shared" si="134"/>
        <v>0</v>
      </c>
      <c r="AO136" s="123">
        <f t="shared" si="134"/>
        <v>0</v>
      </c>
      <c r="AP136" s="123">
        <f t="shared" si="134"/>
        <v>0</v>
      </c>
      <c r="AQ136" s="123">
        <f t="shared" si="134"/>
        <v>0</v>
      </c>
      <c r="AR136" s="123">
        <f t="shared" si="134"/>
        <v>0</v>
      </c>
      <c r="AS136" s="123">
        <f t="shared" si="134"/>
        <v>0</v>
      </c>
      <c r="AT136" s="123">
        <f t="shared" si="134"/>
        <v>0</v>
      </c>
      <c r="AU136" s="123">
        <f t="shared" si="134"/>
        <v>0</v>
      </c>
      <c r="AV136" s="123">
        <f t="shared" si="134"/>
        <v>0</v>
      </c>
      <c r="AW136" s="123">
        <f t="shared" si="134"/>
        <v>0</v>
      </c>
      <c r="AX136" s="123">
        <f t="shared" si="134"/>
        <v>0</v>
      </c>
      <c r="AY136" s="123">
        <f t="shared" si="134"/>
        <v>0</v>
      </c>
      <c r="AZ136" s="123">
        <f t="shared" si="134"/>
        <v>0</v>
      </c>
      <c r="BA136" s="123">
        <f t="shared" si="134"/>
        <v>0</v>
      </c>
      <c r="BB136" s="123">
        <f t="shared" si="134"/>
        <v>0</v>
      </c>
      <c r="BC136" s="123">
        <f t="shared" si="134"/>
        <v>0</v>
      </c>
      <c r="BD136" s="123">
        <f t="shared" si="134"/>
        <v>0</v>
      </c>
      <c r="BE136" s="123">
        <f t="shared" si="134"/>
        <v>0</v>
      </c>
      <c r="BF136" s="123">
        <f t="shared" si="134"/>
        <v>0</v>
      </c>
      <c r="BG136" s="123">
        <f t="shared" si="134"/>
        <v>0</v>
      </c>
      <c r="BH136" s="123">
        <f t="shared" si="134"/>
        <v>0</v>
      </c>
      <c r="BI136" s="123">
        <f t="shared" si="134"/>
        <v>0</v>
      </c>
      <c r="BJ136" s="123">
        <f t="shared" si="134"/>
        <v>0</v>
      </c>
      <c r="BK136" s="123">
        <f t="shared" si="134"/>
        <v>0</v>
      </c>
      <c r="BL136" s="123">
        <f t="shared" si="134"/>
        <v>0</v>
      </c>
      <c r="BM136" s="123">
        <f t="shared" si="134"/>
        <v>0</v>
      </c>
      <c r="BN136" s="123">
        <f t="shared" si="134"/>
        <v>0</v>
      </c>
      <c r="BO136" s="123">
        <f t="shared" si="134"/>
        <v>0</v>
      </c>
      <c r="BP136" s="123">
        <f t="shared" si="134"/>
        <v>0</v>
      </c>
      <c r="BQ136" s="123">
        <f t="shared" si="134"/>
        <v>0</v>
      </c>
      <c r="BR136" s="123">
        <f t="shared" si="134"/>
        <v>0</v>
      </c>
      <c r="BS136" s="92"/>
    </row>
    <row r="137" ht="13.5" customHeight="1">
      <c r="A137" s="80"/>
      <c r="B137" s="92" t="s">
        <v>336</v>
      </c>
      <c r="C137" s="119"/>
      <c r="D137" s="82"/>
      <c r="E137" s="123">
        <f t="shared" ref="E137:I137" si="135">SUMIFS($K137:$BR137,$K$2:$BR$2,E$1)</f>
        <v>-19950</v>
      </c>
      <c r="F137" s="123">
        <f t="shared" si="135"/>
        <v>-19950</v>
      </c>
      <c r="G137" s="123">
        <f t="shared" si="135"/>
        <v>-19950</v>
      </c>
      <c r="H137" s="123">
        <f t="shared" si="135"/>
        <v>-19950</v>
      </c>
      <c r="I137" s="123">
        <f t="shared" si="135"/>
        <v>-19950</v>
      </c>
      <c r="J137" s="314"/>
      <c r="K137" s="123">
        <f t="shared" ref="K137:BR137" si="136">K193+K200+K207</f>
        <v>-1662.5</v>
      </c>
      <c r="L137" s="123">
        <f t="shared" si="136"/>
        <v>-1662.5</v>
      </c>
      <c r="M137" s="123">
        <f t="shared" si="136"/>
        <v>-1662.5</v>
      </c>
      <c r="N137" s="123">
        <f t="shared" si="136"/>
        <v>-1662.5</v>
      </c>
      <c r="O137" s="123">
        <f t="shared" si="136"/>
        <v>-1662.5</v>
      </c>
      <c r="P137" s="123">
        <f t="shared" si="136"/>
        <v>-1662.5</v>
      </c>
      <c r="Q137" s="123">
        <f t="shared" si="136"/>
        <v>-1662.5</v>
      </c>
      <c r="R137" s="123">
        <f t="shared" si="136"/>
        <v>-1662.5</v>
      </c>
      <c r="S137" s="123">
        <f t="shared" si="136"/>
        <v>-1662.5</v>
      </c>
      <c r="T137" s="123">
        <f t="shared" si="136"/>
        <v>-1662.5</v>
      </c>
      <c r="U137" s="123">
        <f t="shared" si="136"/>
        <v>-1662.5</v>
      </c>
      <c r="V137" s="123">
        <f t="shared" si="136"/>
        <v>-1662.5</v>
      </c>
      <c r="W137" s="123">
        <f t="shared" si="136"/>
        <v>-1662.5</v>
      </c>
      <c r="X137" s="123">
        <f t="shared" si="136"/>
        <v>-1662.5</v>
      </c>
      <c r="Y137" s="123">
        <f t="shared" si="136"/>
        <v>-1662.5</v>
      </c>
      <c r="Z137" s="123">
        <f t="shared" si="136"/>
        <v>-1662.5</v>
      </c>
      <c r="AA137" s="123">
        <f t="shared" si="136"/>
        <v>-1662.5</v>
      </c>
      <c r="AB137" s="123">
        <f t="shared" si="136"/>
        <v>-1662.5</v>
      </c>
      <c r="AC137" s="123">
        <f t="shared" si="136"/>
        <v>-1662.5</v>
      </c>
      <c r="AD137" s="123">
        <f t="shared" si="136"/>
        <v>-1662.5</v>
      </c>
      <c r="AE137" s="123">
        <f t="shared" si="136"/>
        <v>-1662.5</v>
      </c>
      <c r="AF137" s="123">
        <f t="shared" si="136"/>
        <v>-1662.5</v>
      </c>
      <c r="AG137" s="123">
        <f t="shared" si="136"/>
        <v>-1662.5</v>
      </c>
      <c r="AH137" s="123">
        <f t="shared" si="136"/>
        <v>-1662.5</v>
      </c>
      <c r="AI137" s="123">
        <f t="shared" si="136"/>
        <v>-1662.5</v>
      </c>
      <c r="AJ137" s="123">
        <f t="shared" si="136"/>
        <v>-1662.5</v>
      </c>
      <c r="AK137" s="123">
        <f t="shared" si="136"/>
        <v>-1662.5</v>
      </c>
      <c r="AL137" s="123">
        <f t="shared" si="136"/>
        <v>-1662.5</v>
      </c>
      <c r="AM137" s="123">
        <f t="shared" si="136"/>
        <v>-1662.5</v>
      </c>
      <c r="AN137" s="123">
        <f t="shared" si="136"/>
        <v>-1662.5</v>
      </c>
      <c r="AO137" s="123">
        <f t="shared" si="136"/>
        <v>-1662.5</v>
      </c>
      <c r="AP137" s="123">
        <f t="shared" si="136"/>
        <v>-1662.5</v>
      </c>
      <c r="AQ137" s="123">
        <f t="shared" si="136"/>
        <v>-1662.5</v>
      </c>
      <c r="AR137" s="123">
        <f t="shared" si="136"/>
        <v>-1662.5</v>
      </c>
      <c r="AS137" s="123">
        <f t="shared" si="136"/>
        <v>-1662.5</v>
      </c>
      <c r="AT137" s="123">
        <f t="shared" si="136"/>
        <v>-1662.5</v>
      </c>
      <c r="AU137" s="123">
        <f t="shared" si="136"/>
        <v>-1662.5</v>
      </c>
      <c r="AV137" s="123">
        <f t="shared" si="136"/>
        <v>-1662.5</v>
      </c>
      <c r="AW137" s="123">
        <f t="shared" si="136"/>
        <v>-1662.5</v>
      </c>
      <c r="AX137" s="123">
        <f t="shared" si="136"/>
        <v>-1662.5</v>
      </c>
      <c r="AY137" s="123">
        <f t="shared" si="136"/>
        <v>-1662.5</v>
      </c>
      <c r="AZ137" s="123">
        <f t="shared" si="136"/>
        <v>-1662.5</v>
      </c>
      <c r="BA137" s="123">
        <f t="shared" si="136"/>
        <v>-1662.5</v>
      </c>
      <c r="BB137" s="123">
        <f t="shared" si="136"/>
        <v>-1662.5</v>
      </c>
      <c r="BC137" s="123">
        <f t="shared" si="136"/>
        <v>-1662.5</v>
      </c>
      <c r="BD137" s="123">
        <f t="shared" si="136"/>
        <v>-1662.5</v>
      </c>
      <c r="BE137" s="123">
        <f t="shared" si="136"/>
        <v>-1662.5</v>
      </c>
      <c r="BF137" s="123">
        <f t="shared" si="136"/>
        <v>-1662.5</v>
      </c>
      <c r="BG137" s="123">
        <f t="shared" si="136"/>
        <v>-1662.5</v>
      </c>
      <c r="BH137" s="123">
        <f t="shared" si="136"/>
        <v>-1662.5</v>
      </c>
      <c r="BI137" s="123">
        <f t="shared" si="136"/>
        <v>-1662.5</v>
      </c>
      <c r="BJ137" s="123">
        <f t="shared" si="136"/>
        <v>-1662.5</v>
      </c>
      <c r="BK137" s="123">
        <f t="shared" si="136"/>
        <v>-1662.5</v>
      </c>
      <c r="BL137" s="123">
        <f t="shared" si="136"/>
        <v>-1662.5</v>
      </c>
      <c r="BM137" s="123">
        <f t="shared" si="136"/>
        <v>-1662.5</v>
      </c>
      <c r="BN137" s="123">
        <f t="shared" si="136"/>
        <v>-1662.5</v>
      </c>
      <c r="BO137" s="123">
        <f t="shared" si="136"/>
        <v>-1662.5</v>
      </c>
      <c r="BP137" s="123">
        <f t="shared" si="136"/>
        <v>-1662.5</v>
      </c>
      <c r="BQ137" s="123">
        <f t="shared" si="136"/>
        <v>-1662.5</v>
      </c>
      <c r="BR137" s="123">
        <f t="shared" si="136"/>
        <v>-1662.5</v>
      </c>
      <c r="BS137" s="92"/>
    </row>
    <row r="138" ht="13.5" customHeight="1">
      <c r="A138" s="80"/>
      <c r="B138" s="92" t="str">
        <f>'Input Assumptions'!$B$55</f>
        <v>Distributions</v>
      </c>
      <c r="C138" s="119"/>
      <c r="D138" s="82"/>
      <c r="E138" s="123">
        <f t="shared" ref="E138:I138" si="137">SUMIFS($K138:$BR138,$K$2:$BR$2,E$1)</f>
        <v>0</v>
      </c>
      <c r="F138" s="123">
        <f t="shared" si="137"/>
        <v>0</v>
      </c>
      <c r="G138" s="123">
        <f t="shared" si="137"/>
        <v>0</v>
      </c>
      <c r="H138" s="123">
        <f t="shared" si="137"/>
        <v>0</v>
      </c>
      <c r="I138" s="123">
        <f t="shared" si="137"/>
        <v>0</v>
      </c>
      <c r="J138" s="314"/>
      <c r="K138" s="123">
        <f t="array" ref="K138">-IFERROR((INDEX(Distributions,K$2)/12),0)</f>
        <v>0</v>
      </c>
      <c r="L138" s="123">
        <f t="array" ref="L138">-IFERROR((INDEX(Distributions,L$2)/12),0)</f>
        <v>0</v>
      </c>
      <c r="M138" s="123">
        <f t="array" ref="M138">-IFERROR((INDEX(Distributions,M$2)/12),0)</f>
        <v>0</v>
      </c>
      <c r="N138" s="123">
        <f t="array" ref="N138">-IFERROR((INDEX(Distributions,N$2)/12),0)</f>
        <v>0</v>
      </c>
      <c r="O138" s="123">
        <f t="array" ref="O138">-IFERROR((INDEX(Distributions,O$2)/12),0)</f>
        <v>0</v>
      </c>
      <c r="P138" s="123">
        <f t="array" ref="P138">-IFERROR((INDEX(Distributions,P$2)/12),0)</f>
        <v>0</v>
      </c>
      <c r="Q138" s="123">
        <f t="array" ref="Q138">-IFERROR((INDEX(Distributions,Q$2)/12),0)</f>
        <v>0</v>
      </c>
      <c r="R138" s="123">
        <f t="array" ref="R138">-IFERROR((INDEX(Distributions,R$2)/12),0)</f>
        <v>0</v>
      </c>
      <c r="S138" s="123">
        <f t="array" ref="S138">-IFERROR((INDEX(Distributions,S$2)/12),0)</f>
        <v>0</v>
      </c>
      <c r="T138" s="123">
        <f t="array" ref="T138">-IFERROR((INDEX(Distributions,T$2)/12),0)</f>
        <v>0</v>
      </c>
      <c r="U138" s="123">
        <f t="array" ref="U138">-IFERROR((INDEX(Distributions,U$2)/12),0)</f>
        <v>0</v>
      </c>
      <c r="V138" s="123">
        <f t="array" ref="V138">-IFERROR((INDEX(Distributions,V$2)/12),0)</f>
        <v>0</v>
      </c>
      <c r="W138" s="123">
        <f t="array" ref="W138">-IFERROR((INDEX(Distributions,W$2)/12),0)</f>
        <v>0</v>
      </c>
      <c r="X138" s="123">
        <f t="array" ref="X138">-IFERROR((INDEX(Distributions,X$2)/12),0)</f>
        <v>0</v>
      </c>
      <c r="Y138" s="123">
        <f t="array" ref="Y138">-IFERROR((INDEX(Distributions,Y$2)/12),0)</f>
        <v>0</v>
      </c>
      <c r="Z138" s="123">
        <f t="array" ref="Z138">-IFERROR((INDEX(Distributions,Z$2)/12),0)</f>
        <v>0</v>
      </c>
      <c r="AA138" s="123">
        <f t="array" ref="AA138">-IFERROR((INDEX(Distributions,AA$2)/12),0)</f>
        <v>0</v>
      </c>
      <c r="AB138" s="123">
        <f t="array" ref="AB138">-IFERROR((INDEX(Distributions,AB$2)/12),0)</f>
        <v>0</v>
      </c>
      <c r="AC138" s="123">
        <f t="array" ref="AC138">-IFERROR((INDEX(Distributions,AC$2)/12),0)</f>
        <v>0</v>
      </c>
      <c r="AD138" s="123">
        <f t="array" ref="AD138">-IFERROR((INDEX(Distributions,AD$2)/12),0)</f>
        <v>0</v>
      </c>
      <c r="AE138" s="123">
        <f t="array" ref="AE138">-IFERROR((INDEX(Distributions,AE$2)/12),0)</f>
        <v>0</v>
      </c>
      <c r="AF138" s="123">
        <f t="array" ref="AF138">-IFERROR((INDEX(Distributions,AF$2)/12),0)</f>
        <v>0</v>
      </c>
      <c r="AG138" s="123">
        <f t="array" ref="AG138">-IFERROR((INDEX(Distributions,AG$2)/12),0)</f>
        <v>0</v>
      </c>
      <c r="AH138" s="123">
        <f t="array" ref="AH138">-IFERROR((INDEX(Distributions,AH$2)/12),0)</f>
        <v>0</v>
      </c>
      <c r="AI138" s="123">
        <f t="array" ref="AI138">-IFERROR((INDEX(Distributions,AI$2)/12),0)</f>
        <v>0</v>
      </c>
      <c r="AJ138" s="123">
        <f t="array" ref="AJ138">-IFERROR((INDEX(Distributions,AJ$2)/12),0)</f>
        <v>0</v>
      </c>
      <c r="AK138" s="123">
        <f t="array" ref="AK138">-IFERROR((INDEX(Distributions,AK$2)/12),0)</f>
        <v>0</v>
      </c>
      <c r="AL138" s="123">
        <f t="array" ref="AL138">-IFERROR((INDEX(Distributions,AL$2)/12),0)</f>
        <v>0</v>
      </c>
      <c r="AM138" s="123">
        <f t="array" ref="AM138">-IFERROR((INDEX(Distributions,AM$2)/12),0)</f>
        <v>0</v>
      </c>
      <c r="AN138" s="123">
        <f t="array" ref="AN138">-IFERROR((INDEX(Distributions,AN$2)/12),0)</f>
        <v>0</v>
      </c>
      <c r="AO138" s="123">
        <f t="array" ref="AO138">-IFERROR((INDEX(Distributions,AO$2)/12),0)</f>
        <v>0</v>
      </c>
      <c r="AP138" s="123">
        <f t="array" ref="AP138">-IFERROR((INDEX(Distributions,AP$2)/12),0)</f>
        <v>0</v>
      </c>
      <c r="AQ138" s="123">
        <f t="array" ref="AQ138">-IFERROR((INDEX(Distributions,AQ$2)/12),0)</f>
        <v>0</v>
      </c>
      <c r="AR138" s="123">
        <f t="array" ref="AR138">-IFERROR((INDEX(Distributions,AR$2)/12),0)</f>
        <v>0</v>
      </c>
      <c r="AS138" s="123">
        <f t="array" ref="AS138">-IFERROR((INDEX(Distributions,AS$2)/12),0)</f>
        <v>0</v>
      </c>
      <c r="AT138" s="123">
        <f t="array" ref="AT138">-IFERROR((INDEX(Distributions,AT$2)/12),0)</f>
        <v>0</v>
      </c>
      <c r="AU138" s="123">
        <f t="array" ref="AU138">-IFERROR((INDEX(Distributions,AU$2)/12),0)</f>
        <v>0</v>
      </c>
      <c r="AV138" s="123">
        <f t="array" ref="AV138">-IFERROR((INDEX(Distributions,AV$2)/12),0)</f>
        <v>0</v>
      </c>
      <c r="AW138" s="123">
        <f t="array" ref="AW138">-IFERROR((INDEX(Distributions,AW$2)/12),0)</f>
        <v>0</v>
      </c>
      <c r="AX138" s="123">
        <f t="array" ref="AX138">-IFERROR((INDEX(Distributions,AX$2)/12),0)</f>
        <v>0</v>
      </c>
      <c r="AY138" s="123">
        <f t="array" ref="AY138">-IFERROR((INDEX(Distributions,AY$2)/12),0)</f>
        <v>0</v>
      </c>
      <c r="AZ138" s="123">
        <f t="array" ref="AZ138">-IFERROR((INDEX(Distributions,AZ$2)/12),0)</f>
        <v>0</v>
      </c>
      <c r="BA138" s="123">
        <f t="array" ref="BA138">-IFERROR((INDEX(Distributions,BA$2)/12),0)</f>
        <v>0</v>
      </c>
      <c r="BB138" s="123">
        <f t="array" ref="BB138">-IFERROR((INDEX(Distributions,BB$2)/12),0)</f>
        <v>0</v>
      </c>
      <c r="BC138" s="123">
        <f t="array" ref="BC138">-IFERROR((INDEX(Distributions,BC$2)/12),0)</f>
        <v>0</v>
      </c>
      <c r="BD138" s="123">
        <f t="array" ref="BD138">-IFERROR((INDEX(Distributions,BD$2)/12),0)</f>
        <v>0</v>
      </c>
      <c r="BE138" s="123">
        <f t="array" ref="BE138">-IFERROR((INDEX(Distributions,BE$2)/12),0)</f>
        <v>0</v>
      </c>
      <c r="BF138" s="123">
        <f t="array" ref="BF138">-IFERROR((INDEX(Distributions,BF$2)/12),0)</f>
        <v>0</v>
      </c>
      <c r="BG138" s="123">
        <f t="array" ref="BG138">-IFERROR((INDEX(Distributions,BG$2)/12),0)</f>
        <v>0</v>
      </c>
      <c r="BH138" s="123">
        <f t="array" ref="BH138">-IFERROR((INDEX(Distributions,BH$2)/12),0)</f>
        <v>0</v>
      </c>
      <c r="BI138" s="123">
        <f t="array" ref="BI138">-IFERROR((INDEX(Distributions,BI$2)/12),0)</f>
        <v>0</v>
      </c>
      <c r="BJ138" s="123">
        <f t="array" ref="BJ138">-IFERROR((INDEX(Distributions,BJ$2)/12),0)</f>
        <v>0</v>
      </c>
      <c r="BK138" s="123">
        <f t="array" ref="BK138">-IFERROR((INDEX(Distributions,BK$2)/12),0)</f>
        <v>0</v>
      </c>
      <c r="BL138" s="123">
        <f t="array" ref="BL138">-IFERROR((INDEX(Distributions,BL$2)/12),0)</f>
        <v>0</v>
      </c>
      <c r="BM138" s="123">
        <f t="array" ref="BM138">-IFERROR((INDEX(Distributions,BM$2)/12),0)</f>
        <v>0</v>
      </c>
      <c r="BN138" s="123">
        <f t="array" ref="BN138">-IFERROR((INDEX(Distributions,BN$2)/12),0)</f>
        <v>0</v>
      </c>
      <c r="BO138" s="123">
        <f t="array" ref="BO138">-IFERROR((INDEX(Distributions,BO$2)/12),0)</f>
        <v>0</v>
      </c>
      <c r="BP138" s="123">
        <f t="array" ref="BP138">-IFERROR((INDEX(Distributions,BP$2)/12),0)</f>
        <v>0</v>
      </c>
      <c r="BQ138" s="123">
        <f t="array" ref="BQ138">-IFERROR((INDEX(Distributions,BQ$2)/12),0)</f>
        <v>0</v>
      </c>
      <c r="BR138" s="123">
        <f t="array" ref="BR138">-IFERROR((INDEX(Distributions,BR$2)/12),0)</f>
        <v>0</v>
      </c>
      <c r="BS138" s="92"/>
    </row>
    <row r="139" ht="13.5" customHeight="1">
      <c r="A139" s="80"/>
      <c r="B139" s="92" t="s">
        <v>337</v>
      </c>
      <c r="C139" s="119"/>
      <c r="D139" s="82"/>
      <c r="E139" s="123">
        <f t="shared" ref="E139:I139" si="138">SUMIFS($K139:$BR139,$K$2:$BR$2,E$1)</f>
        <v>59850</v>
      </c>
      <c r="F139" s="123">
        <f t="shared" si="138"/>
        <v>0</v>
      </c>
      <c r="G139" s="123">
        <f t="shared" si="138"/>
        <v>0</v>
      </c>
      <c r="H139" s="123">
        <f t="shared" si="138"/>
        <v>0</v>
      </c>
      <c r="I139" s="123">
        <f t="shared" si="138"/>
        <v>0</v>
      </c>
      <c r="J139" s="314"/>
      <c r="K139" s="311">
        <f>'Input Assumptions'!$E$48</f>
        <v>59850</v>
      </c>
      <c r="L139" s="311"/>
      <c r="M139" s="311"/>
      <c r="N139" s="311"/>
      <c r="O139" s="311"/>
      <c r="P139" s="311"/>
      <c r="Q139" s="311"/>
      <c r="R139" s="311"/>
      <c r="S139" s="311"/>
      <c r="T139" s="311"/>
      <c r="U139" s="311"/>
      <c r="V139" s="311"/>
      <c r="W139" s="311" t="str">
        <f>'Input Assumptions'!$F$48</f>
        <v/>
      </c>
      <c r="X139" s="311"/>
      <c r="Y139" s="311"/>
      <c r="Z139" s="311"/>
      <c r="AA139" s="311"/>
      <c r="AB139" s="311"/>
      <c r="AC139" s="311"/>
      <c r="AD139" s="311"/>
      <c r="AE139" s="311"/>
      <c r="AF139" s="311"/>
      <c r="AG139" s="311"/>
      <c r="AH139" s="311"/>
      <c r="AI139" s="311" t="str">
        <f>'Input Assumptions'!$G$48</f>
        <v/>
      </c>
      <c r="AJ139" s="311"/>
      <c r="AK139" s="311"/>
      <c r="AL139" s="311"/>
      <c r="AM139" s="311"/>
      <c r="AN139" s="311"/>
      <c r="AO139" s="311"/>
      <c r="AP139" s="311"/>
      <c r="AQ139" s="311"/>
      <c r="AR139" s="311"/>
      <c r="AS139" s="311"/>
      <c r="AT139" s="311"/>
      <c r="AU139" s="311" t="str">
        <f>'Input Assumptions'!$H$48</f>
        <v/>
      </c>
      <c r="AV139" s="311"/>
      <c r="AW139" s="311"/>
      <c r="AX139" s="311"/>
      <c r="AY139" s="311"/>
      <c r="AZ139" s="311"/>
      <c r="BA139" s="311"/>
      <c r="BB139" s="311"/>
      <c r="BC139" s="311"/>
      <c r="BD139" s="311"/>
      <c r="BE139" s="311"/>
      <c r="BF139" s="311"/>
      <c r="BG139" s="311" t="str">
        <f>'Input Assumptions'!$I$48</f>
        <v/>
      </c>
      <c r="BH139" s="311"/>
      <c r="BI139" s="311"/>
      <c r="BJ139" s="311"/>
      <c r="BK139" s="311"/>
      <c r="BL139" s="311"/>
      <c r="BM139" s="311"/>
      <c r="BN139" s="311"/>
      <c r="BO139" s="311"/>
      <c r="BP139" s="311"/>
      <c r="BQ139" s="311"/>
      <c r="BR139" s="311"/>
      <c r="BS139" s="92"/>
    </row>
    <row r="140" ht="15.75" customHeight="1">
      <c r="A140" s="80"/>
      <c r="B140" s="298" t="s">
        <v>97</v>
      </c>
      <c r="C140" s="131"/>
      <c r="D140" s="102"/>
      <c r="E140" s="132">
        <f t="shared" ref="E140:I140" si="139">SUM(E136:E139)</f>
        <v>279300</v>
      </c>
      <c r="F140" s="132">
        <f t="shared" si="139"/>
        <v>-19950</v>
      </c>
      <c r="G140" s="132">
        <f t="shared" si="139"/>
        <v>-19950</v>
      </c>
      <c r="H140" s="132">
        <f t="shared" si="139"/>
        <v>-19950</v>
      </c>
      <c r="I140" s="132">
        <f t="shared" si="139"/>
        <v>-19950</v>
      </c>
      <c r="J140" s="92"/>
      <c r="K140" s="132">
        <f t="shared" ref="K140:BR140" si="140">SUM(K136:K139)</f>
        <v>297587.5</v>
      </c>
      <c r="L140" s="132">
        <f t="shared" si="140"/>
        <v>-1662.5</v>
      </c>
      <c r="M140" s="132">
        <f t="shared" si="140"/>
        <v>-1662.5</v>
      </c>
      <c r="N140" s="132">
        <f t="shared" si="140"/>
        <v>-1662.5</v>
      </c>
      <c r="O140" s="132">
        <f t="shared" si="140"/>
        <v>-1662.5</v>
      </c>
      <c r="P140" s="132">
        <f t="shared" si="140"/>
        <v>-1662.5</v>
      </c>
      <c r="Q140" s="132">
        <f t="shared" si="140"/>
        <v>-1662.5</v>
      </c>
      <c r="R140" s="132">
        <f t="shared" si="140"/>
        <v>-1662.5</v>
      </c>
      <c r="S140" s="132">
        <f t="shared" si="140"/>
        <v>-1662.5</v>
      </c>
      <c r="T140" s="132">
        <f t="shared" si="140"/>
        <v>-1662.5</v>
      </c>
      <c r="U140" s="132">
        <f t="shared" si="140"/>
        <v>-1662.5</v>
      </c>
      <c r="V140" s="132">
        <f t="shared" si="140"/>
        <v>-1662.5</v>
      </c>
      <c r="W140" s="132">
        <f t="shared" si="140"/>
        <v>-1662.5</v>
      </c>
      <c r="X140" s="132">
        <f t="shared" si="140"/>
        <v>-1662.5</v>
      </c>
      <c r="Y140" s="132">
        <f t="shared" si="140"/>
        <v>-1662.5</v>
      </c>
      <c r="Z140" s="132">
        <f t="shared" si="140"/>
        <v>-1662.5</v>
      </c>
      <c r="AA140" s="132">
        <f t="shared" si="140"/>
        <v>-1662.5</v>
      </c>
      <c r="AB140" s="132">
        <f t="shared" si="140"/>
        <v>-1662.5</v>
      </c>
      <c r="AC140" s="132">
        <f t="shared" si="140"/>
        <v>-1662.5</v>
      </c>
      <c r="AD140" s="132">
        <f t="shared" si="140"/>
        <v>-1662.5</v>
      </c>
      <c r="AE140" s="132">
        <f t="shared" si="140"/>
        <v>-1662.5</v>
      </c>
      <c r="AF140" s="132">
        <f t="shared" si="140"/>
        <v>-1662.5</v>
      </c>
      <c r="AG140" s="132">
        <f t="shared" si="140"/>
        <v>-1662.5</v>
      </c>
      <c r="AH140" s="132">
        <f t="shared" si="140"/>
        <v>-1662.5</v>
      </c>
      <c r="AI140" s="132">
        <f t="shared" si="140"/>
        <v>-1662.5</v>
      </c>
      <c r="AJ140" s="132">
        <f t="shared" si="140"/>
        <v>-1662.5</v>
      </c>
      <c r="AK140" s="132">
        <f t="shared" si="140"/>
        <v>-1662.5</v>
      </c>
      <c r="AL140" s="132">
        <f t="shared" si="140"/>
        <v>-1662.5</v>
      </c>
      <c r="AM140" s="132">
        <f t="shared" si="140"/>
        <v>-1662.5</v>
      </c>
      <c r="AN140" s="132">
        <f t="shared" si="140"/>
        <v>-1662.5</v>
      </c>
      <c r="AO140" s="132">
        <f t="shared" si="140"/>
        <v>-1662.5</v>
      </c>
      <c r="AP140" s="132">
        <f t="shared" si="140"/>
        <v>-1662.5</v>
      </c>
      <c r="AQ140" s="132">
        <f t="shared" si="140"/>
        <v>-1662.5</v>
      </c>
      <c r="AR140" s="132">
        <f t="shared" si="140"/>
        <v>-1662.5</v>
      </c>
      <c r="AS140" s="132">
        <f t="shared" si="140"/>
        <v>-1662.5</v>
      </c>
      <c r="AT140" s="132">
        <f t="shared" si="140"/>
        <v>-1662.5</v>
      </c>
      <c r="AU140" s="132">
        <f t="shared" si="140"/>
        <v>-1662.5</v>
      </c>
      <c r="AV140" s="132">
        <f t="shared" si="140"/>
        <v>-1662.5</v>
      </c>
      <c r="AW140" s="132">
        <f t="shared" si="140"/>
        <v>-1662.5</v>
      </c>
      <c r="AX140" s="132">
        <f t="shared" si="140"/>
        <v>-1662.5</v>
      </c>
      <c r="AY140" s="132">
        <f t="shared" si="140"/>
        <v>-1662.5</v>
      </c>
      <c r="AZ140" s="132">
        <f t="shared" si="140"/>
        <v>-1662.5</v>
      </c>
      <c r="BA140" s="132">
        <f t="shared" si="140"/>
        <v>-1662.5</v>
      </c>
      <c r="BB140" s="132">
        <f t="shared" si="140"/>
        <v>-1662.5</v>
      </c>
      <c r="BC140" s="132">
        <f t="shared" si="140"/>
        <v>-1662.5</v>
      </c>
      <c r="BD140" s="132">
        <f t="shared" si="140"/>
        <v>-1662.5</v>
      </c>
      <c r="BE140" s="132">
        <f t="shared" si="140"/>
        <v>-1662.5</v>
      </c>
      <c r="BF140" s="132">
        <f t="shared" si="140"/>
        <v>-1662.5</v>
      </c>
      <c r="BG140" s="132">
        <f t="shared" si="140"/>
        <v>-1662.5</v>
      </c>
      <c r="BH140" s="132">
        <f t="shared" si="140"/>
        <v>-1662.5</v>
      </c>
      <c r="BI140" s="132">
        <f t="shared" si="140"/>
        <v>-1662.5</v>
      </c>
      <c r="BJ140" s="132">
        <f t="shared" si="140"/>
        <v>-1662.5</v>
      </c>
      <c r="BK140" s="132">
        <f t="shared" si="140"/>
        <v>-1662.5</v>
      </c>
      <c r="BL140" s="132">
        <f t="shared" si="140"/>
        <v>-1662.5</v>
      </c>
      <c r="BM140" s="132">
        <f t="shared" si="140"/>
        <v>-1662.5</v>
      </c>
      <c r="BN140" s="132">
        <f t="shared" si="140"/>
        <v>-1662.5</v>
      </c>
      <c r="BO140" s="132">
        <f t="shared" si="140"/>
        <v>-1662.5</v>
      </c>
      <c r="BP140" s="132">
        <f t="shared" si="140"/>
        <v>-1662.5</v>
      </c>
      <c r="BQ140" s="132">
        <f t="shared" si="140"/>
        <v>-1662.5</v>
      </c>
      <c r="BR140" s="132">
        <f t="shared" si="140"/>
        <v>-1662.5</v>
      </c>
      <c r="BS140" s="75"/>
    </row>
    <row r="141" ht="13.5" customHeight="1">
      <c r="A141" s="80"/>
      <c r="B141" s="310"/>
      <c r="C141" s="119"/>
      <c r="D141" s="85"/>
      <c r="E141" s="316"/>
      <c r="F141" s="316"/>
      <c r="G141" s="316"/>
      <c r="H141" s="316"/>
      <c r="I141" s="316"/>
      <c r="J141" s="314"/>
      <c r="K141" s="316"/>
      <c r="L141" s="316"/>
      <c r="M141" s="316"/>
      <c r="N141" s="316"/>
      <c r="O141" s="316"/>
      <c r="P141" s="316"/>
      <c r="Q141" s="316"/>
      <c r="R141" s="316"/>
      <c r="S141" s="316"/>
      <c r="T141" s="316"/>
      <c r="U141" s="316"/>
      <c r="V141" s="316"/>
      <c r="W141" s="316"/>
      <c r="X141" s="316"/>
      <c r="Y141" s="316"/>
      <c r="Z141" s="316"/>
      <c r="AA141" s="316"/>
      <c r="AB141" s="316"/>
      <c r="AC141" s="316"/>
      <c r="AD141" s="316"/>
      <c r="AE141" s="316"/>
      <c r="AF141" s="316"/>
      <c r="AG141" s="316"/>
      <c r="AH141" s="316"/>
      <c r="AI141" s="316"/>
      <c r="AJ141" s="316"/>
      <c r="AK141" s="316"/>
      <c r="AL141" s="316"/>
      <c r="AM141" s="316"/>
      <c r="AN141" s="316"/>
      <c r="AO141" s="316"/>
      <c r="AP141" s="316"/>
      <c r="AQ141" s="316"/>
      <c r="AR141" s="316"/>
      <c r="AS141" s="316"/>
      <c r="AT141" s="316"/>
      <c r="AU141" s="316"/>
      <c r="AV141" s="316"/>
      <c r="AW141" s="316"/>
      <c r="AX141" s="316"/>
      <c r="AY141" s="316"/>
      <c r="AZ141" s="316"/>
      <c r="BA141" s="316"/>
      <c r="BB141" s="316"/>
      <c r="BC141" s="316"/>
      <c r="BD141" s="316"/>
      <c r="BE141" s="316"/>
      <c r="BF141" s="316"/>
      <c r="BG141" s="316"/>
      <c r="BH141" s="316"/>
      <c r="BI141" s="316"/>
      <c r="BJ141" s="316"/>
      <c r="BK141" s="316"/>
      <c r="BL141" s="316"/>
      <c r="BM141" s="316"/>
      <c r="BN141" s="316"/>
      <c r="BO141" s="316"/>
      <c r="BP141" s="316"/>
      <c r="BQ141" s="316"/>
      <c r="BR141" s="316"/>
      <c r="BS141" s="310"/>
    </row>
    <row r="142" ht="15.75" customHeight="1">
      <c r="A142" s="80"/>
      <c r="B142" s="98" t="s">
        <v>338</v>
      </c>
      <c r="C142" s="98"/>
      <c r="D142" s="99"/>
      <c r="E142" s="300">
        <f t="shared" ref="E142:I142" si="141">SUMIFS($K142:$BR142,$K$2:$BR$2,E$1)</f>
        <v>12088.4427</v>
      </c>
      <c r="F142" s="300">
        <f t="shared" si="141"/>
        <v>-6023.641312</v>
      </c>
      <c r="G142" s="300">
        <f t="shared" si="141"/>
        <v>29252.15808</v>
      </c>
      <c r="H142" s="300">
        <f t="shared" si="141"/>
        <v>41460.89433</v>
      </c>
      <c r="I142" s="300">
        <f t="shared" si="141"/>
        <v>52447.11529</v>
      </c>
      <c r="J142" s="92"/>
      <c r="K142" s="300">
        <f t="shared" ref="K142:BR142" si="142">K$131+K$134+K$140</f>
        <v>98240.2914</v>
      </c>
      <c r="L142" s="300">
        <f t="shared" si="142"/>
        <v>-12949.58872</v>
      </c>
      <c r="M142" s="300">
        <f t="shared" si="142"/>
        <v>-9593.89096</v>
      </c>
      <c r="N142" s="300">
        <f t="shared" si="142"/>
        <v>-10162.13838</v>
      </c>
      <c r="O142" s="300">
        <f t="shared" si="142"/>
        <v>-8259.117632</v>
      </c>
      <c r="P142" s="300">
        <f t="shared" si="142"/>
        <v>-8292.185955</v>
      </c>
      <c r="Q142" s="300">
        <f t="shared" si="142"/>
        <v>-10285.51635</v>
      </c>
      <c r="R142" s="300">
        <f t="shared" si="142"/>
        <v>-4461.971461</v>
      </c>
      <c r="S142" s="300">
        <f t="shared" si="142"/>
        <v>-7376.124707</v>
      </c>
      <c r="T142" s="300">
        <f t="shared" si="142"/>
        <v>-4922.184309</v>
      </c>
      <c r="U142" s="300">
        <f t="shared" si="142"/>
        <v>-6261.71924</v>
      </c>
      <c r="V142" s="300">
        <f t="shared" si="142"/>
        <v>-3587.410981</v>
      </c>
      <c r="W142" s="300">
        <f t="shared" si="142"/>
        <v>-3789.86329</v>
      </c>
      <c r="X142" s="300">
        <f t="shared" si="142"/>
        <v>-4356.772758</v>
      </c>
      <c r="Y142" s="300">
        <f t="shared" si="142"/>
        <v>-1334.834198</v>
      </c>
      <c r="Z142" s="300">
        <f t="shared" si="142"/>
        <v>-3208.210272</v>
      </c>
      <c r="AA142" s="300">
        <f t="shared" si="142"/>
        <v>34.09614978</v>
      </c>
      <c r="AB142" s="300">
        <f t="shared" si="142"/>
        <v>-642.9972488</v>
      </c>
      <c r="AC142" s="300">
        <f t="shared" si="142"/>
        <v>-3853.044328</v>
      </c>
      <c r="AD142" s="300">
        <f t="shared" si="142"/>
        <v>5535.280806</v>
      </c>
      <c r="AE142" s="300">
        <f t="shared" si="142"/>
        <v>-346.3136009</v>
      </c>
      <c r="AF142" s="300">
        <f t="shared" si="142"/>
        <v>2766.358741</v>
      </c>
      <c r="AG142" s="300">
        <f t="shared" si="142"/>
        <v>-3.75165268</v>
      </c>
      <c r="AH142" s="300">
        <f t="shared" si="142"/>
        <v>3176.41034</v>
      </c>
      <c r="AI142" s="300">
        <f t="shared" si="142"/>
        <v>1529.65295</v>
      </c>
      <c r="AJ142" s="300">
        <f t="shared" si="142"/>
        <v>154.0489669</v>
      </c>
      <c r="AK142" s="300">
        <f t="shared" si="142"/>
        <v>3389.332127</v>
      </c>
      <c r="AL142" s="300">
        <f t="shared" si="142"/>
        <v>453.9067237</v>
      </c>
      <c r="AM142" s="300">
        <f t="shared" si="142"/>
        <v>3743.092484</v>
      </c>
      <c r="AN142" s="300">
        <f t="shared" si="142"/>
        <v>2346.714037</v>
      </c>
      <c r="AO142" s="300">
        <f t="shared" si="142"/>
        <v>-2634.307783</v>
      </c>
      <c r="AP142" s="300">
        <f t="shared" si="142"/>
        <v>7830.470909</v>
      </c>
      <c r="AQ142" s="300">
        <f t="shared" si="142"/>
        <v>1223.542835</v>
      </c>
      <c r="AR142" s="300">
        <f t="shared" si="142"/>
        <v>4651.464967</v>
      </c>
      <c r="AS142" s="300">
        <f t="shared" si="142"/>
        <v>1539.595554</v>
      </c>
      <c r="AT142" s="300">
        <f t="shared" si="142"/>
        <v>5024.644312</v>
      </c>
      <c r="AU142" s="300">
        <f t="shared" si="142"/>
        <v>2645.438061</v>
      </c>
      <c r="AV142" s="300">
        <f t="shared" si="142"/>
        <v>1097.871641</v>
      </c>
      <c r="AW142" s="300">
        <f t="shared" si="142"/>
        <v>4626.709259</v>
      </c>
      <c r="AX142" s="300">
        <f t="shared" si="142"/>
        <v>1366.398851</v>
      </c>
      <c r="AY142" s="300">
        <f t="shared" si="142"/>
        <v>4942.249869</v>
      </c>
      <c r="AZ142" s="300">
        <f t="shared" si="142"/>
        <v>3375.544602</v>
      </c>
      <c r="BA142" s="300">
        <f t="shared" si="142"/>
        <v>-94.40996908</v>
      </c>
      <c r="BB142" s="300">
        <f t="shared" si="142"/>
        <v>7292.380611</v>
      </c>
      <c r="BC142" s="300">
        <f t="shared" si="142"/>
        <v>2051.824274</v>
      </c>
      <c r="BD142" s="300">
        <f t="shared" si="142"/>
        <v>5747.97882</v>
      </c>
      <c r="BE142" s="300">
        <f t="shared" si="142"/>
        <v>2331.751016</v>
      </c>
      <c r="BF142" s="300">
        <f t="shared" si="142"/>
        <v>6077.157291</v>
      </c>
      <c r="BG142" s="300">
        <f t="shared" si="142"/>
        <v>3500.397657</v>
      </c>
      <c r="BH142" s="300">
        <f t="shared" si="142"/>
        <v>1823.176604</v>
      </c>
      <c r="BI142" s="300">
        <f t="shared" si="142"/>
        <v>5643.69862</v>
      </c>
      <c r="BJ142" s="300">
        <f t="shared" si="142"/>
        <v>2111.576672</v>
      </c>
      <c r="BK142" s="300">
        <f t="shared" si="142"/>
        <v>5983.014178</v>
      </c>
      <c r="BL142" s="300">
        <f t="shared" si="142"/>
        <v>4285.065764</v>
      </c>
      <c r="BM142" s="300">
        <f t="shared" si="142"/>
        <v>-1643.525241</v>
      </c>
      <c r="BN142" s="300">
        <f t="shared" si="142"/>
        <v>10694.00699</v>
      </c>
      <c r="BO142" s="300">
        <f t="shared" si="142"/>
        <v>2847.85515</v>
      </c>
      <c r="BP142" s="300">
        <f t="shared" si="142"/>
        <v>6849.581317</v>
      </c>
      <c r="BQ142" s="300">
        <f t="shared" si="142"/>
        <v>3148.600907</v>
      </c>
      <c r="BR142" s="300">
        <f t="shared" si="142"/>
        <v>7203.666672</v>
      </c>
      <c r="BS142" s="75"/>
    </row>
    <row r="143" ht="13.5" customHeight="1">
      <c r="A143" s="80"/>
      <c r="B143" s="310"/>
      <c r="C143" s="92"/>
      <c r="D143" s="85"/>
      <c r="E143" s="93"/>
      <c r="F143" s="93"/>
      <c r="G143" s="93"/>
      <c r="H143" s="93"/>
      <c r="I143" s="93"/>
      <c r="J143" s="314"/>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2"/>
    </row>
    <row r="144" ht="15.75" customHeight="1">
      <c r="A144" s="80"/>
      <c r="B144" s="98" t="s">
        <v>135</v>
      </c>
      <c r="C144" s="98"/>
      <c r="D144" s="99"/>
      <c r="E144" s="300">
        <f t="shared" ref="E144:I144" si="143">E121+E142</f>
        <v>12088.4427</v>
      </c>
      <c r="F144" s="300">
        <f t="shared" si="143"/>
        <v>6064.801389</v>
      </c>
      <c r="G144" s="300">
        <f t="shared" si="143"/>
        <v>35316.95947</v>
      </c>
      <c r="H144" s="300">
        <f t="shared" si="143"/>
        <v>76777.85379</v>
      </c>
      <c r="I144" s="300">
        <f t="shared" si="143"/>
        <v>129224.9691</v>
      </c>
      <c r="J144" s="92"/>
      <c r="K144" s="300">
        <f t="shared" ref="K144:BR144" si="144">K121+K142</f>
        <v>98240.2914</v>
      </c>
      <c r="L144" s="300">
        <f t="shared" si="144"/>
        <v>85290.70267</v>
      </c>
      <c r="M144" s="300">
        <f t="shared" si="144"/>
        <v>75696.81171</v>
      </c>
      <c r="N144" s="300">
        <f t="shared" si="144"/>
        <v>65534.67334</v>
      </c>
      <c r="O144" s="300">
        <f t="shared" si="144"/>
        <v>57275.55571</v>
      </c>
      <c r="P144" s="300">
        <f t="shared" si="144"/>
        <v>48983.36975</v>
      </c>
      <c r="Q144" s="300">
        <f t="shared" si="144"/>
        <v>38697.8534</v>
      </c>
      <c r="R144" s="300">
        <f t="shared" si="144"/>
        <v>34235.88194</v>
      </c>
      <c r="S144" s="300">
        <f t="shared" si="144"/>
        <v>26859.75723</v>
      </c>
      <c r="T144" s="300">
        <f t="shared" si="144"/>
        <v>21937.57292</v>
      </c>
      <c r="U144" s="300">
        <f t="shared" si="144"/>
        <v>15675.85368</v>
      </c>
      <c r="V144" s="300">
        <f t="shared" si="144"/>
        <v>12088.4427</v>
      </c>
      <c r="W144" s="300">
        <f t="shared" si="144"/>
        <v>8298.57941</v>
      </c>
      <c r="X144" s="300">
        <f t="shared" si="144"/>
        <v>3941.806652</v>
      </c>
      <c r="Y144" s="300">
        <f t="shared" si="144"/>
        <v>2606.972454</v>
      </c>
      <c r="Z144" s="300">
        <f t="shared" si="144"/>
        <v>-601.2378181</v>
      </c>
      <c r="AA144" s="300">
        <f t="shared" si="144"/>
        <v>-567.1416684</v>
      </c>
      <c r="AB144" s="300">
        <f t="shared" si="144"/>
        <v>-1210.138917</v>
      </c>
      <c r="AC144" s="300">
        <f t="shared" si="144"/>
        <v>-5063.183245</v>
      </c>
      <c r="AD144" s="300">
        <f t="shared" si="144"/>
        <v>472.0975615</v>
      </c>
      <c r="AE144" s="300">
        <f t="shared" si="144"/>
        <v>125.7839606</v>
      </c>
      <c r="AF144" s="300">
        <f t="shared" si="144"/>
        <v>2892.142701</v>
      </c>
      <c r="AG144" s="300">
        <f t="shared" si="144"/>
        <v>2888.391049</v>
      </c>
      <c r="AH144" s="300">
        <f t="shared" si="144"/>
        <v>6064.801389</v>
      </c>
      <c r="AI144" s="300">
        <f t="shared" si="144"/>
        <v>7594.454339</v>
      </c>
      <c r="AJ144" s="300">
        <f t="shared" si="144"/>
        <v>7748.503306</v>
      </c>
      <c r="AK144" s="300">
        <f t="shared" si="144"/>
        <v>11137.83543</v>
      </c>
      <c r="AL144" s="300">
        <f t="shared" si="144"/>
        <v>11591.74216</v>
      </c>
      <c r="AM144" s="300">
        <f t="shared" si="144"/>
        <v>15334.83464</v>
      </c>
      <c r="AN144" s="300">
        <f t="shared" si="144"/>
        <v>17681.54868</v>
      </c>
      <c r="AO144" s="300">
        <f t="shared" si="144"/>
        <v>15047.24089</v>
      </c>
      <c r="AP144" s="300">
        <f t="shared" si="144"/>
        <v>22877.7118</v>
      </c>
      <c r="AQ144" s="300">
        <f t="shared" si="144"/>
        <v>24101.25464</v>
      </c>
      <c r="AR144" s="300">
        <f t="shared" si="144"/>
        <v>28752.7196</v>
      </c>
      <c r="AS144" s="300">
        <f t="shared" si="144"/>
        <v>30292.31516</v>
      </c>
      <c r="AT144" s="300">
        <f t="shared" si="144"/>
        <v>35316.95947</v>
      </c>
      <c r="AU144" s="300">
        <f t="shared" si="144"/>
        <v>37962.39753</v>
      </c>
      <c r="AV144" s="300">
        <f t="shared" si="144"/>
        <v>39060.26917</v>
      </c>
      <c r="AW144" s="300">
        <f t="shared" si="144"/>
        <v>43686.97843</v>
      </c>
      <c r="AX144" s="300">
        <f t="shared" si="144"/>
        <v>45053.37728</v>
      </c>
      <c r="AY144" s="300">
        <f t="shared" si="144"/>
        <v>49995.62715</v>
      </c>
      <c r="AZ144" s="300">
        <f t="shared" si="144"/>
        <v>53371.17175</v>
      </c>
      <c r="BA144" s="300">
        <f t="shared" si="144"/>
        <v>53276.76178</v>
      </c>
      <c r="BB144" s="300">
        <f t="shared" si="144"/>
        <v>60569.14239</v>
      </c>
      <c r="BC144" s="300">
        <f t="shared" si="144"/>
        <v>62620.96667</v>
      </c>
      <c r="BD144" s="300">
        <f t="shared" si="144"/>
        <v>68368.94549</v>
      </c>
      <c r="BE144" s="300">
        <f t="shared" si="144"/>
        <v>70700.6965</v>
      </c>
      <c r="BF144" s="300">
        <f t="shared" si="144"/>
        <v>76777.85379</v>
      </c>
      <c r="BG144" s="300">
        <f t="shared" si="144"/>
        <v>80278.25145</v>
      </c>
      <c r="BH144" s="300">
        <f t="shared" si="144"/>
        <v>82101.42806</v>
      </c>
      <c r="BI144" s="300">
        <f t="shared" si="144"/>
        <v>87745.12668</v>
      </c>
      <c r="BJ144" s="300">
        <f t="shared" si="144"/>
        <v>89856.70335</v>
      </c>
      <c r="BK144" s="300">
        <f t="shared" si="144"/>
        <v>95839.71753</v>
      </c>
      <c r="BL144" s="300">
        <f t="shared" si="144"/>
        <v>100124.7833</v>
      </c>
      <c r="BM144" s="300">
        <f t="shared" si="144"/>
        <v>98481.25805</v>
      </c>
      <c r="BN144" s="300">
        <f t="shared" si="144"/>
        <v>109175.265</v>
      </c>
      <c r="BO144" s="300">
        <f t="shared" si="144"/>
        <v>112023.1202</v>
      </c>
      <c r="BP144" s="300">
        <f t="shared" si="144"/>
        <v>118872.7015</v>
      </c>
      <c r="BQ144" s="300">
        <f t="shared" si="144"/>
        <v>122021.3024</v>
      </c>
      <c r="BR144" s="300">
        <f t="shared" si="144"/>
        <v>129224.9691</v>
      </c>
      <c r="BS144" s="75"/>
    </row>
    <row r="145" ht="15.75" customHeight="1">
      <c r="A145" s="106"/>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row>
    <row r="146" ht="15.75" customHeight="1">
      <c r="A146" s="80"/>
      <c r="B146" s="136" t="s">
        <v>339</v>
      </c>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c r="BL146" s="105"/>
      <c r="BM146" s="105"/>
      <c r="BN146" s="105"/>
      <c r="BO146" s="105"/>
      <c r="BP146" s="105"/>
      <c r="BQ146" s="105"/>
      <c r="BR146" s="105"/>
      <c r="BS146" s="282"/>
    </row>
    <row r="147" ht="13.5" customHeight="1">
      <c r="A147" s="80"/>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row>
    <row r="148" ht="13.5" customHeight="1">
      <c r="A148" s="80"/>
      <c r="B148" s="92" t="s">
        <v>340</v>
      </c>
      <c r="C148" s="126"/>
      <c r="D148" s="119"/>
      <c r="E148" s="123"/>
      <c r="F148" s="123"/>
      <c r="G148" s="123"/>
      <c r="H148" s="123"/>
      <c r="I148" s="123"/>
      <c r="J148" s="119"/>
      <c r="K148" s="123" t="str">
        <f t="shared" ref="K148:BR148" si="145">J152</f>
        <v/>
      </c>
      <c r="L148" s="123">
        <f t="shared" si="145"/>
        <v>12320.5499</v>
      </c>
      <c r="M148" s="123">
        <f t="shared" si="145"/>
        <v>23431.05727</v>
      </c>
      <c r="N148" s="123">
        <f t="shared" si="145"/>
        <v>33929.26994</v>
      </c>
      <c r="O148" s="123">
        <f t="shared" si="145"/>
        <v>43815.18792</v>
      </c>
      <c r="P148" s="123">
        <f t="shared" si="145"/>
        <v>53088.81119</v>
      </c>
      <c r="Q148" s="123">
        <f t="shared" si="145"/>
        <v>61750.13977</v>
      </c>
      <c r="R148" s="123">
        <f t="shared" si="145"/>
        <v>69799.17365</v>
      </c>
      <c r="S148" s="123">
        <f t="shared" si="145"/>
        <v>77235.91282</v>
      </c>
      <c r="T148" s="123">
        <f t="shared" si="145"/>
        <v>84060.3573</v>
      </c>
      <c r="U148" s="123">
        <f t="shared" si="145"/>
        <v>90272.50708</v>
      </c>
      <c r="V148" s="123">
        <f t="shared" si="145"/>
        <v>95872.36216</v>
      </c>
      <c r="W148" s="123">
        <f t="shared" si="145"/>
        <v>100859.9225</v>
      </c>
      <c r="X148" s="123">
        <f t="shared" si="145"/>
        <v>105018.9285</v>
      </c>
      <c r="Y148" s="123">
        <f t="shared" si="145"/>
        <v>108548.5612</v>
      </c>
      <c r="Z148" s="123">
        <f t="shared" si="145"/>
        <v>111448.8207</v>
      </c>
      <c r="AA148" s="123">
        <f t="shared" si="145"/>
        <v>113719.7069</v>
      </c>
      <c r="AB148" s="123">
        <f t="shared" si="145"/>
        <v>115361.22</v>
      </c>
      <c r="AC148" s="123">
        <f t="shared" si="145"/>
        <v>116373.3599</v>
      </c>
      <c r="AD148" s="123">
        <f t="shared" si="145"/>
        <v>117199.6798</v>
      </c>
      <c r="AE148" s="123">
        <f t="shared" si="145"/>
        <v>117838.3244</v>
      </c>
      <c r="AF148" s="123">
        <f t="shared" si="145"/>
        <v>118287.418</v>
      </c>
      <c r="AG148" s="123">
        <f t="shared" si="145"/>
        <v>118545.0648</v>
      </c>
      <c r="AH148" s="123">
        <f t="shared" si="145"/>
        <v>118609.3484</v>
      </c>
      <c r="AI148" s="123">
        <f t="shared" si="145"/>
        <v>118478.3315</v>
      </c>
      <c r="AJ148" s="123">
        <f t="shared" si="145"/>
        <v>118608.413</v>
      </c>
      <c r="AK148" s="123">
        <f t="shared" si="145"/>
        <v>118574.3557</v>
      </c>
      <c r="AL148" s="123">
        <f t="shared" si="145"/>
        <v>118374.9129</v>
      </c>
      <c r="AM148" s="123">
        <f t="shared" si="145"/>
        <v>118008.8278</v>
      </c>
      <c r="AN148" s="123">
        <f t="shared" si="145"/>
        <v>117474.8327</v>
      </c>
      <c r="AO148" s="123">
        <f t="shared" si="145"/>
        <v>116771.6497</v>
      </c>
      <c r="AP148" s="123">
        <f t="shared" si="145"/>
        <v>115897.9902</v>
      </c>
      <c r="AQ148" s="123">
        <f t="shared" si="145"/>
        <v>114852.5547</v>
      </c>
      <c r="AR148" s="123">
        <f t="shared" si="145"/>
        <v>113634.0329</v>
      </c>
      <c r="AS148" s="123">
        <f t="shared" si="145"/>
        <v>112241.1038</v>
      </c>
      <c r="AT148" s="123">
        <f t="shared" si="145"/>
        <v>110672.4351</v>
      </c>
      <c r="AU148" s="123">
        <f t="shared" si="145"/>
        <v>108926.6835</v>
      </c>
      <c r="AV148" s="123">
        <f t="shared" si="145"/>
        <v>107985.4322</v>
      </c>
      <c r="AW148" s="123">
        <f t="shared" si="145"/>
        <v>106897.6477</v>
      </c>
      <c r="AX148" s="123">
        <f t="shared" si="145"/>
        <v>105662.4499</v>
      </c>
      <c r="AY148" s="123">
        <f t="shared" si="145"/>
        <v>104278.9531</v>
      </c>
      <c r="AZ148" s="123">
        <f t="shared" si="145"/>
        <v>102746.2656</v>
      </c>
      <c r="BA148" s="123">
        <f t="shared" si="145"/>
        <v>101063.4899</v>
      </c>
      <c r="BB148" s="123">
        <f t="shared" si="145"/>
        <v>99229.72228</v>
      </c>
      <c r="BC148" s="123">
        <f t="shared" si="145"/>
        <v>97244.05311</v>
      </c>
      <c r="BD148" s="123">
        <f t="shared" si="145"/>
        <v>95105.5667</v>
      </c>
      <c r="BE148" s="123">
        <f t="shared" si="145"/>
        <v>92813.34126</v>
      </c>
      <c r="BF148" s="123">
        <f t="shared" si="145"/>
        <v>90366.44884</v>
      </c>
      <c r="BG148" s="123">
        <f t="shared" si="145"/>
        <v>87763.9553</v>
      </c>
      <c r="BH148" s="123">
        <f t="shared" si="145"/>
        <v>82235.00304</v>
      </c>
      <c r="BI148" s="123">
        <f t="shared" si="145"/>
        <v>76548.56266</v>
      </c>
      <c r="BJ148" s="123">
        <f t="shared" si="145"/>
        <v>70703.68124</v>
      </c>
      <c r="BK148" s="123">
        <f t="shared" si="145"/>
        <v>64699.39947</v>
      </c>
      <c r="BL148" s="123">
        <f t="shared" si="145"/>
        <v>58534.75166</v>
      </c>
      <c r="BM148" s="123">
        <f t="shared" si="145"/>
        <v>52208.76569</v>
      </c>
      <c r="BN148" s="123">
        <f t="shared" si="145"/>
        <v>45720.46295</v>
      </c>
      <c r="BO148" s="123">
        <f t="shared" si="145"/>
        <v>39068.85831</v>
      </c>
      <c r="BP148" s="123">
        <f t="shared" si="145"/>
        <v>32252.96006</v>
      </c>
      <c r="BQ148" s="123">
        <f t="shared" si="145"/>
        <v>25271.76989</v>
      </c>
      <c r="BR148" s="123">
        <f t="shared" si="145"/>
        <v>18124.28284</v>
      </c>
      <c r="BS148" s="119"/>
    </row>
    <row r="149" ht="13.5" customHeight="1">
      <c r="A149" s="80"/>
      <c r="B149" s="92" t="s">
        <v>341</v>
      </c>
      <c r="C149" s="317"/>
      <c r="D149" s="82"/>
      <c r="E149" s="123"/>
      <c r="F149" s="123"/>
      <c r="G149" s="123"/>
      <c r="H149" s="123"/>
      <c r="I149" s="123"/>
      <c r="J149" s="119"/>
      <c r="K149" s="123">
        <f t="shared" ref="K149:BR149" si="146">-MIN(,K78)</f>
        <v>12320.5499</v>
      </c>
      <c r="L149" s="123">
        <f t="shared" si="146"/>
        <v>11110.50737</v>
      </c>
      <c r="M149" s="123">
        <f t="shared" si="146"/>
        <v>10498.21267</v>
      </c>
      <c r="N149" s="123">
        <f t="shared" si="146"/>
        <v>9885.917975</v>
      </c>
      <c r="O149" s="123">
        <f t="shared" si="146"/>
        <v>9273.623275</v>
      </c>
      <c r="P149" s="123">
        <f t="shared" si="146"/>
        <v>8661.328576</v>
      </c>
      <c r="Q149" s="123">
        <f t="shared" si="146"/>
        <v>8049.033877</v>
      </c>
      <c r="R149" s="123">
        <f t="shared" si="146"/>
        <v>7436.739178</v>
      </c>
      <c r="S149" s="123">
        <f t="shared" si="146"/>
        <v>6824.444479</v>
      </c>
      <c r="T149" s="123">
        <f t="shared" si="146"/>
        <v>6212.14978</v>
      </c>
      <c r="U149" s="123">
        <f t="shared" si="146"/>
        <v>5599.855081</v>
      </c>
      <c r="V149" s="123">
        <f t="shared" si="146"/>
        <v>4987.560382</v>
      </c>
      <c r="W149" s="123">
        <f t="shared" si="146"/>
        <v>4159.005912</v>
      </c>
      <c r="X149" s="123">
        <f t="shared" si="146"/>
        <v>3529.632703</v>
      </c>
      <c r="Y149" s="123">
        <f t="shared" si="146"/>
        <v>2900.259495</v>
      </c>
      <c r="Z149" s="123">
        <f t="shared" si="146"/>
        <v>2270.886287</v>
      </c>
      <c r="AA149" s="123">
        <f t="shared" si="146"/>
        <v>1641.513078</v>
      </c>
      <c r="AB149" s="123">
        <f t="shared" si="146"/>
        <v>1012.13987</v>
      </c>
      <c r="AC149" s="123">
        <f t="shared" si="146"/>
        <v>826.319945</v>
      </c>
      <c r="AD149" s="123">
        <f t="shared" si="146"/>
        <v>638.644562</v>
      </c>
      <c r="AE149" s="123">
        <f t="shared" si="146"/>
        <v>449.0936201</v>
      </c>
      <c r="AF149" s="123">
        <f t="shared" si="146"/>
        <v>257.6468008</v>
      </c>
      <c r="AG149" s="123">
        <f t="shared" si="146"/>
        <v>64.28356552</v>
      </c>
      <c r="AH149" s="123">
        <f t="shared" si="146"/>
        <v>0</v>
      </c>
      <c r="AI149" s="123">
        <f t="shared" si="146"/>
        <v>130.0814913</v>
      </c>
      <c r="AJ149" s="123">
        <f t="shared" si="146"/>
        <v>0</v>
      </c>
      <c r="AK149" s="123">
        <f t="shared" si="146"/>
        <v>0</v>
      </c>
      <c r="AL149" s="123">
        <f t="shared" si="146"/>
        <v>0</v>
      </c>
      <c r="AM149" s="123">
        <f t="shared" si="146"/>
        <v>0</v>
      </c>
      <c r="AN149" s="123">
        <f t="shared" si="146"/>
        <v>0</v>
      </c>
      <c r="AO149" s="123">
        <f t="shared" si="146"/>
        <v>0</v>
      </c>
      <c r="AP149" s="123">
        <f t="shared" si="146"/>
        <v>0</v>
      </c>
      <c r="AQ149" s="123">
        <f t="shared" si="146"/>
        <v>0</v>
      </c>
      <c r="AR149" s="123">
        <f t="shared" si="146"/>
        <v>0</v>
      </c>
      <c r="AS149" s="123">
        <f t="shared" si="146"/>
        <v>0</v>
      </c>
      <c r="AT149" s="123">
        <f t="shared" si="146"/>
        <v>0</v>
      </c>
      <c r="AU149" s="123">
        <f t="shared" si="146"/>
        <v>0</v>
      </c>
      <c r="AV149" s="123">
        <f t="shared" si="146"/>
        <v>0</v>
      </c>
      <c r="AW149" s="123">
        <f t="shared" si="146"/>
        <v>0</v>
      </c>
      <c r="AX149" s="123">
        <f t="shared" si="146"/>
        <v>0</v>
      </c>
      <c r="AY149" s="123">
        <f t="shared" si="146"/>
        <v>0</v>
      </c>
      <c r="AZ149" s="123">
        <f t="shared" si="146"/>
        <v>0</v>
      </c>
      <c r="BA149" s="123">
        <f t="shared" si="146"/>
        <v>0</v>
      </c>
      <c r="BB149" s="123">
        <f t="shared" si="146"/>
        <v>0</v>
      </c>
      <c r="BC149" s="123">
        <f t="shared" si="146"/>
        <v>0</v>
      </c>
      <c r="BD149" s="123">
        <f t="shared" si="146"/>
        <v>0</v>
      </c>
      <c r="BE149" s="123">
        <f t="shared" si="146"/>
        <v>0</v>
      </c>
      <c r="BF149" s="123">
        <f t="shared" si="146"/>
        <v>0</v>
      </c>
      <c r="BG149" s="123">
        <f t="shared" si="146"/>
        <v>0</v>
      </c>
      <c r="BH149" s="123">
        <f t="shared" si="146"/>
        <v>0</v>
      </c>
      <c r="BI149" s="123">
        <f t="shared" si="146"/>
        <v>0</v>
      </c>
      <c r="BJ149" s="123">
        <f t="shared" si="146"/>
        <v>0</v>
      </c>
      <c r="BK149" s="123">
        <f t="shared" si="146"/>
        <v>0</v>
      </c>
      <c r="BL149" s="123">
        <f t="shared" si="146"/>
        <v>0</v>
      </c>
      <c r="BM149" s="123">
        <f t="shared" si="146"/>
        <v>0</v>
      </c>
      <c r="BN149" s="123">
        <f t="shared" si="146"/>
        <v>0</v>
      </c>
      <c r="BO149" s="123">
        <f t="shared" si="146"/>
        <v>0</v>
      </c>
      <c r="BP149" s="123">
        <f t="shared" si="146"/>
        <v>0</v>
      </c>
      <c r="BQ149" s="123">
        <f t="shared" si="146"/>
        <v>0</v>
      </c>
      <c r="BR149" s="123">
        <f t="shared" si="146"/>
        <v>0</v>
      </c>
      <c r="BS149" s="119"/>
    </row>
    <row r="150" ht="15.75" customHeight="1">
      <c r="A150" s="80"/>
      <c r="B150" s="298" t="s">
        <v>342</v>
      </c>
      <c r="C150" s="131"/>
      <c r="D150" s="102"/>
      <c r="E150" s="132"/>
      <c r="F150" s="132"/>
      <c r="G150" s="132"/>
      <c r="H150" s="132"/>
      <c r="I150" s="132"/>
      <c r="J150" s="92"/>
      <c r="K150" s="132">
        <f t="shared" ref="K150:BR150" si="147">K149+K148</f>
        <v>12320.5499</v>
      </c>
      <c r="L150" s="132">
        <f t="shared" si="147"/>
        <v>23431.05727</v>
      </c>
      <c r="M150" s="132">
        <f t="shared" si="147"/>
        <v>33929.26994</v>
      </c>
      <c r="N150" s="132">
        <f t="shared" si="147"/>
        <v>43815.18792</v>
      </c>
      <c r="O150" s="132">
        <f t="shared" si="147"/>
        <v>53088.81119</v>
      </c>
      <c r="P150" s="132">
        <f t="shared" si="147"/>
        <v>61750.13977</v>
      </c>
      <c r="Q150" s="132">
        <f t="shared" si="147"/>
        <v>69799.17365</v>
      </c>
      <c r="R150" s="132">
        <f t="shared" si="147"/>
        <v>77235.91282</v>
      </c>
      <c r="S150" s="132">
        <f t="shared" si="147"/>
        <v>84060.3573</v>
      </c>
      <c r="T150" s="132">
        <f t="shared" si="147"/>
        <v>90272.50708</v>
      </c>
      <c r="U150" s="132">
        <f t="shared" si="147"/>
        <v>95872.36216</v>
      </c>
      <c r="V150" s="132">
        <f t="shared" si="147"/>
        <v>100859.9225</v>
      </c>
      <c r="W150" s="132">
        <f t="shared" si="147"/>
        <v>105018.9285</v>
      </c>
      <c r="X150" s="132">
        <f t="shared" si="147"/>
        <v>108548.5612</v>
      </c>
      <c r="Y150" s="132">
        <f t="shared" si="147"/>
        <v>111448.8207</v>
      </c>
      <c r="Z150" s="132">
        <f t="shared" si="147"/>
        <v>113719.7069</v>
      </c>
      <c r="AA150" s="132">
        <f t="shared" si="147"/>
        <v>115361.22</v>
      </c>
      <c r="AB150" s="132">
        <f t="shared" si="147"/>
        <v>116373.3599</v>
      </c>
      <c r="AC150" s="132">
        <f t="shared" si="147"/>
        <v>117199.6798</v>
      </c>
      <c r="AD150" s="132">
        <f t="shared" si="147"/>
        <v>117838.3244</v>
      </c>
      <c r="AE150" s="132">
        <f t="shared" si="147"/>
        <v>118287.418</v>
      </c>
      <c r="AF150" s="132">
        <f t="shared" si="147"/>
        <v>118545.0648</v>
      </c>
      <c r="AG150" s="132">
        <f t="shared" si="147"/>
        <v>118609.3484</v>
      </c>
      <c r="AH150" s="132">
        <f t="shared" si="147"/>
        <v>118609.3484</v>
      </c>
      <c r="AI150" s="132">
        <f t="shared" si="147"/>
        <v>118608.413</v>
      </c>
      <c r="AJ150" s="132">
        <f t="shared" si="147"/>
        <v>118608.413</v>
      </c>
      <c r="AK150" s="132">
        <f t="shared" si="147"/>
        <v>118574.3557</v>
      </c>
      <c r="AL150" s="132">
        <f t="shared" si="147"/>
        <v>118374.9129</v>
      </c>
      <c r="AM150" s="132">
        <f t="shared" si="147"/>
        <v>118008.8278</v>
      </c>
      <c r="AN150" s="132">
        <f t="shared" si="147"/>
        <v>117474.8327</v>
      </c>
      <c r="AO150" s="132">
        <f t="shared" si="147"/>
        <v>116771.6497</v>
      </c>
      <c r="AP150" s="132">
        <f t="shared" si="147"/>
        <v>115897.9902</v>
      </c>
      <c r="AQ150" s="132">
        <f t="shared" si="147"/>
        <v>114852.5547</v>
      </c>
      <c r="AR150" s="132">
        <f t="shared" si="147"/>
        <v>113634.0329</v>
      </c>
      <c r="AS150" s="132">
        <f t="shared" si="147"/>
        <v>112241.1038</v>
      </c>
      <c r="AT150" s="132">
        <f t="shared" si="147"/>
        <v>110672.4351</v>
      </c>
      <c r="AU150" s="132">
        <f t="shared" si="147"/>
        <v>108926.6835</v>
      </c>
      <c r="AV150" s="132">
        <f t="shared" si="147"/>
        <v>107985.4322</v>
      </c>
      <c r="AW150" s="132">
        <f t="shared" si="147"/>
        <v>106897.6477</v>
      </c>
      <c r="AX150" s="132">
        <f t="shared" si="147"/>
        <v>105662.4499</v>
      </c>
      <c r="AY150" s="132">
        <f t="shared" si="147"/>
        <v>104278.9531</v>
      </c>
      <c r="AZ150" s="132">
        <f t="shared" si="147"/>
        <v>102746.2656</v>
      </c>
      <c r="BA150" s="132">
        <f t="shared" si="147"/>
        <v>101063.4899</v>
      </c>
      <c r="BB150" s="132">
        <f t="shared" si="147"/>
        <v>99229.72228</v>
      </c>
      <c r="BC150" s="132">
        <f t="shared" si="147"/>
        <v>97244.05311</v>
      </c>
      <c r="BD150" s="132">
        <f t="shared" si="147"/>
        <v>95105.5667</v>
      </c>
      <c r="BE150" s="132">
        <f t="shared" si="147"/>
        <v>92813.34126</v>
      </c>
      <c r="BF150" s="132">
        <f t="shared" si="147"/>
        <v>90366.44884</v>
      </c>
      <c r="BG150" s="132">
        <f t="shared" si="147"/>
        <v>87763.9553</v>
      </c>
      <c r="BH150" s="132">
        <f t="shared" si="147"/>
        <v>82235.00304</v>
      </c>
      <c r="BI150" s="132">
        <f t="shared" si="147"/>
        <v>76548.56266</v>
      </c>
      <c r="BJ150" s="132">
        <f t="shared" si="147"/>
        <v>70703.68124</v>
      </c>
      <c r="BK150" s="132">
        <f t="shared" si="147"/>
        <v>64699.39947</v>
      </c>
      <c r="BL150" s="132">
        <f t="shared" si="147"/>
        <v>58534.75166</v>
      </c>
      <c r="BM150" s="132">
        <f t="shared" si="147"/>
        <v>52208.76569</v>
      </c>
      <c r="BN150" s="132">
        <f t="shared" si="147"/>
        <v>45720.46295</v>
      </c>
      <c r="BO150" s="132">
        <f t="shared" si="147"/>
        <v>39068.85831</v>
      </c>
      <c r="BP150" s="132">
        <f t="shared" si="147"/>
        <v>32252.96006</v>
      </c>
      <c r="BQ150" s="132">
        <f t="shared" si="147"/>
        <v>25271.76989</v>
      </c>
      <c r="BR150" s="132">
        <f t="shared" si="147"/>
        <v>18124.28284</v>
      </c>
      <c r="BS150" s="75"/>
    </row>
    <row r="151" ht="13.5" customHeight="1">
      <c r="A151" s="80"/>
      <c r="B151" s="92" t="s">
        <v>343</v>
      </c>
      <c r="C151" s="80"/>
      <c r="D151" s="82"/>
      <c r="E151" s="123"/>
      <c r="F151" s="123"/>
      <c r="G151" s="123"/>
      <c r="H151" s="123"/>
      <c r="I151" s="123"/>
      <c r="J151" s="119"/>
      <c r="K151" s="123">
        <f t="shared" ref="K151:BR151" si="148">-IF(K78&gt;0,MIN(K150,K78),0)</f>
        <v>0</v>
      </c>
      <c r="L151" s="123">
        <f t="shared" si="148"/>
        <v>0</v>
      </c>
      <c r="M151" s="123">
        <f t="shared" si="148"/>
        <v>0</v>
      </c>
      <c r="N151" s="123">
        <f t="shared" si="148"/>
        <v>0</v>
      </c>
      <c r="O151" s="123">
        <f t="shared" si="148"/>
        <v>0</v>
      </c>
      <c r="P151" s="123">
        <f t="shared" si="148"/>
        <v>0</v>
      </c>
      <c r="Q151" s="123">
        <f t="shared" si="148"/>
        <v>0</v>
      </c>
      <c r="R151" s="123">
        <f t="shared" si="148"/>
        <v>0</v>
      </c>
      <c r="S151" s="123">
        <f t="shared" si="148"/>
        <v>0</v>
      </c>
      <c r="T151" s="123">
        <f t="shared" si="148"/>
        <v>0</v>
      </c>
      <c r="U151" s="123">
        <f t="shared" si="148"/>
        <v>0</v>
      </c>
      <c r="V151" s="123">
        <f t="shared" si="148"/>
        <v>0</v>
      </c>
      <c r="W151" s="123">
        <f t="shared" si="148"/>
        <v>0</v>
      </c>
      <c r="X151" s="123">
        <f t="shared" si="148"/>
        <v>0</v>
      </c>
      <c r="Y151" s="123">
        <f t="shared" si="148"/>
        <v>0</v>
      </c>
      <c r="Z151" s="123">
        <f t="shared" si="148"/>
        <v>0</v>
      </c>
      <c r="AA151" s="123">
        <f t="shared" si="148"/>
        <v>0</v>
      </c>
      <c r="AB151" s="123">
        <f t="shared" si="148"/>
        <v>0</v>
      </c>
      <c r="AC151" s="123">
        <f t="shared" si="148"/>
        <v>0</v>
      </c>
      <c r="AD151" s="123">
        <f t="shared" si="148"/>
        <v>0</v>
      </c>
      <c r="AE151" s="123">
        <f t="shared" si="148"/>
        <v>0</v>
      </c>
      <c r="AF151" s="123">
        <f t="shared" si="148"/>
        <v>0</v>
      </c>
      <c r="AG151" s="123">
        <f t="shared" si="148"/>
        <v>0</v>
      </c>
      <c r="AH151" s="123">
        <f t="shared" si="148"/>
        <v>-131.0168471</v>
      </c>
      <c r="AI151" s="123">
        <f t="shared" si="148"/>
        <v>0</v>
      </c>
      <c r="AJ151" s="123">
        <f t="shared" si="148"/>
        <v>-34.05733537</v>
      </c>
      <c r="AK151" s="123">
        <f t="shared" si="148"/>
        <v>-199.4427617</v>
      </c>
      <c r="AL151" s="123">
        <f t="shared" si="148"/>
        <v>-366.0851759</v>
      </c>
      <c r="AM151" s="123">
        <f t="shared" si="148"/>
        <v>-533.9950529</v>
      </c>
      <c r="AN151" s="123">
        <f t="shared" si="148"/>
        <v>-703.182955</v>
      </c>
      <c r="AO151" s="123">
        <f t="shared" si="148"/>
        <v>-873.6595323</v>
      </c>
      <c r="AP151" s="123">
        <f t="shared" si="148"/>
        <v>-1045.435524</v>
      </c>
      <c r="AQ151" s="123">
        <f t="shared" si="148"/>
        <v>-1218.521758</v>
      </c>
      <c r="AR151" s="123">
        <f t="shared" si="148"/>
        <v>-1392.929153</v>
      </c>
      <c r="AS151" s="123">
        <f t="shared" si="148"/>
        <v>-1568.66872</v>
      </c>
      <c r="AT151" s="123">
        <f t="shared" si="148"/>
        <v>-1745.751559</v>
      </c>
      <c r="AU151" s="123">
        <f t="shared" si="148"/>
        <v>-941.2512748</v>
      </c>
      <c r="AV151" s="123">
        <f t="shared" si="148"/>
        <v>-1087.784576</v>
      </c>
      <c r="AW151" s="123">
        <f t="shared" si="148"/>
        <v>-1235.197787</v>
      </c>
      <c r="AX151" s="123">
        <f t="shared" si="148"/>
        <v>-1383.496774</v>
      </c>
      <c r="AY151" s="123">
        <f t="shared" si="148"/>
        <v>-1532.687441</v>
      </c>
      <c r="AZ151" s="123">
        <f t="shared" si="148"/>
        <v>-1682.775734</v>
      </c>
      <c r="BA151" s="123">
        <f t="shared" si="148"/>
        <v>-1833.767636</v>
      </c>
      <c r="BB151" s="123">
        <f t="shared" si="148"/>
        <v>-1985.669171</v>
      </c>
      <c r="BC151" s="123">
        <f t="shared" si="148"/>
        <v>-2138.486405</v>
      </c>
      <c r="BD151" s="123">
        <f t="shared" si="148"/>
        <v>-2292.22544</v>
      </c>
      <c r="BE151" s="123">
        <f t="shared" si="148"/>
        <v>-2446.892424</v>
      </c>
      <c r="BF151" s="123">
        <f t="shared" si="148"/>
        <v>-2602.493541</v>
      </c>
      <c r="BG151" s="123">
        <f t="shared" si="148"/>
        <v>-5528.952263</v>
      </c>
      <c r="BH151" s="123">
        <f t="shared" si="148"/>
        <v>-5686.440373</v>
      </c>
      <c r="BI151" s="123">
        <f t="shared" si="148"/>
        <v>-5844.881424</v>
      </c>
      <c r="BJ151" s="123">
        <f t="shared" si="148"/>
        <v>-6004.28177</v>
      </c>
      <c r="BK151" s="123">
        <f t="shared" si="148"/>
        <v>-6164.647806</v>
      </c>
      <c r="BL151" s="123">
        <f t="shared" si="148"/>
        <v>-6325.985969</v>
      </c>
      <c r="BM151" s="123">
        <f t="shared" si="148"/>
        <v>-6488.302741</v>
      </c>
      <c r="BN151" s="123">
        <f t="shared" si="148"/>
        <v>-6651.604646</v>
      </c>
      <c r="BO151" s="123">
        <f t="shared" si="148"/>
        <v>-6815.89825</v>
      </c>
      <c r="BP151" s="123">
        <f t="shared" si="148"/>
        <v>-6981.190167</v>
      </c>
      <c r="BQ151" s="123">
        <f t="shared" si="148"/>
        <v>-7147.48705</v>
      </c>
      <c r="BR151" s="123">
        <f t="shared" si="148"/>
        <v>-7314.7956</v>
      </c>
      <c r="BS151" s="119"/>
    </row>
    <row r="152" ht="13.5" customHeight="1">
      <c r="A152" s="80"/>
      <c r="B152" s="92" t="s">
        <v>344</v>
      </c>
      <c r="C152" s="80"/>
      <c r="D152" s="82"/>
      <c r="E152" s="123"/>
      <c r="F152" s="123"/>
      <c r="G152" s="123"/>
      <c r="H152" s="123"/>
      <c r="I152" s="123"/>
      <c r="J152" s="119"/>
      <c r="K152" s="318">
        <f t="shared" ref="K152:BR152" si="149">K151+K150</f>
        <v>12320.5499</v>
      </c>
      <c r="L152" s="318">
        <f t="shared" si="149"/>
        <v>23431.05727</v>
      </c>
      <c r="M152" s="318">
        <f t="shared" si="149"/>
        <v>33929.26994</v>
      </c>
      <c r="N152" s="318">
        <f t="shared" si="149"/>
        <v>43815.18792</v>
      </c>
      <c r="O152" s="318">
        <f t="shared" si="149"/>
        <v>53088.81119</v>
      </c>
      <c r="P152" s="318">
        <f t="shared" si="149"/>
        <v>61750.13977</v>
      </c>
      <c r="Q152" s="318">
        <f t="shared" si="149"/>
        <v>69799.17365</v>
      </c>
      <c r="R152" s="318">
        <f t="shared" si="149"/>
        <v>77235.91282</v>
      </c>
      <c r="S152" s="318">
        <f t="shared" si="149"/>
        <v>84060.3573</v>
      </c>
      <c r="T152" s="318">
        <f t="shared" si="149"/>
        <v>90272.50708</v>
      </c>
      <c r="U152" s="318">
        <f t="shared" si="149"/>
        <v>95872.36216</v>
      </c>
      <c r="V152" s="318">
        <f t="shared" si="149"/>
        <v>100859.9225</v>
      </c>
      <c r="W152" s="318">
        <f t="shared" si="149"/>
        <v>105018.9285</v>
      </c>
      <c r="X152" s="318">
        <f t="shared" si="149"/>
        <v>108548.5612</v>
      </c>
      <c r="Y152" s="318">
        <f t="shared" si="149"/>
        <v>111448.8207</v>
      </c>
      <c r="Z152" s="318">
        <f t="shared" si="149"/>
        <v>113719.7069</v>
      </c>
      <c r="AA152" s="318">
        <f t="shared" si="149"/>
        <v>115361.22</v>
      </c>
      <c r="AB152" s="318">
        <f t="shared" si="149"/>
        <v>116373.3599</v>
      </c>
      <c r="AC152" s="318">
        <f t="shared" si="149"/>
        <v>117199.6798</v>
      </c>
      <c r="AD152" s="318">
        <f t="shared" si="149"/>
        <v>117838.3244</v>
      </c>
      <c r="AE152" s="318">
        <f t="shared" si="149"/>
        <v>118287.418</v>
      </c>
      <c r="AF152" s="318">
        <f t="shared" si="149"/>
        <v>118545.0648</v>
      </c>
      <c r="AG152" s="318">
        <f t="shared" si="149"/>
        <v>118609.3484</v>
      </c>
      <c r="AH152" s="318">
        <f t="shared" si="149"/>
        <v>118478.3315</v>
      </c>
      <c r="AI152" s="318">
        <f t="shared" si="149"/>
        <v>118608.413</v>
      </c>
      <c r="AJ152" s="318">
        <f t="shared" si="149"/>
        <v>118574.3557</v>
      </c>
      <c r="AK152" s="318">
        <f t="shared" si="149"/>
        <v>118374.9129</v>
      </c>
      <c r="AL152" s="318">
        <f t="shared" si="149"/>
        <v>118008.8278</v>
      </c>
      <c r="AM152" s="318">
        <f t="shared" si="149"/>
        <v>117474.8327</v>
      </c>
      <c r="AN152" s="318">
        <f t="shared" si="149"/>
        <v>116771.6497</v>
      </c>
      <c r="AO152" s="318">
        <f t="shared" si="149"/>
        <v>115897.9902</v>
      </c>
      <c r="AP152" s="318">
        <f t="shared" si="149"/>
        <v>114852.5547</v>
      </c>
      <c r="AQ152" s="318">
        <f t="shared" si="149"/>
        <v>113634.0329</v>
      </c>
      <c r="AR152" s="318">
        <f t="shared" si="149"/>
        <v>112241.1038</v>
      </c>
      <c r="AS152" s="318">
        <f t="shared" si="149"/>
        <v>110672.4351</v>
      </c>
      <c r="AT152" s="318">
        <f t="shared" si="149"/>
        <v>108926.6835</v>
      </c>
      <c r="AU152" s="318">
        <f t="shared" si="149"/>
        <v>107985.4322</v>
      </c>
      <c r="AV152" s="318">
        <f t="shared" si="149"/>
        <v>106897.6477</v>
      </c>
      <c r="AW152" s="318">
        <f t="shared" si="149"/>
        <v>105662.4499</v>
      </c>
      <c r="AX152" s="318">
        <f t="shared" si="149"/>
        <v>104278.9531</v>
      </c>
      <c r="AY152" s="318">
        <f t="shared" si="149"/>
        <v>102746.2656</v>
      </c>
      <c r="AZ152" s="318">
        <f t="shared" si="149"/>
        <v>101063.4899</v>
      </c>
      <c r="BA152" s="318">
        <f t="shared" si="149"/>
        <v>99229.72228</v>
      </c>
      <c r="BB152" s="318">
        <f t="shared" si="149"/>
        <v>97244.05311</v>
      </c>
      <c r="BC152" s="318">
        <f t="shared" si="149"/>
        <v>95105.5667</v>
      </c>
      <c r="BD152" s="318">
        <f t="shared" si="149"/>
        <v>92813.34126</v>
      </c>
      <c r="BE152" s="318">
        <f t="shared" si="149"/>
        <v>90366.44884</v>
      </c>
      <c r="BF152" s="318">
        <f t="shared" si="149"/>
        <v>87763.9553</v>
      </c>
      <c r="BG152" s="318">
        <f t="shared" si="149"/>
        <v>82235.00304</v>
      </c>
      <c r="BH152" s="318">
        <f t="shared" si="149"/>
        <v>76548.56266</v>
      </c>
      <c r="BI152" s="318">
        <f t="shared" si="149"/>
        <v>70703.68124</v>
      </c>
      <c r="BJ152" s="318">
        <f t="shared" si="149"/>
        <v>64699.39947</v>
      </c>
      <c r="BK152" s="318">
        <f t="shared" si="149"/>
        <v>58534.75166</v>
      </c>
      <c r="BL152" s="318">
        <f t="shared" si="149"/>
        <v>52208.76569</v>
      </c>
      <c r="BM152" s="318">
        <f t="shared" si="149"/>
        <v>45720.46295</v>
      </c>
      <c r="BN152" s="318">
        <f t="shared" si="149"/>
        <v>39068.85831</v>
      </c>
      <c r="BO152" s="318">
        <f t="shared" si="149"/>
        <v>32252.96006</v>
      </c>
      <c r="BP152" s="318">
        <f t="shared" si="149"/>
        <v>25271.76989</v>
      </c>
      <c r="BQ152" s="318">
        <f t="shared" si="149"/>
        <v>18124.28284</v>
      </c>
      <c r="BR152" s="318">
        <f t="shared" si="149"/>
        <v>10809.48724</v>
      </c>
      <c r="BS152" s="119"/>
    </row>
    <row r="153" ht="15.75" customHeight="1">
      <c r="A153" s="80"/>
      <c r="B153" s="98" t="s">
        <v>345</v>
      </c>
      <c r="C153" s="98"/>
      <c r="D153" s="99"/>
      <c r="E153" s="300"/>
      <c r="F153" s="300"/>
      <c r="G153" s="300"/>
      <c r="H153" s="300"/>
      <c r="I153" s="300"/>
      <c r="J153" s="92"/>
      <c r="K153" s="300">
        <f>IF(J$153="",K152*Corp_Tax,IF(K148&lt;&gt;0,K152*Corp_Tax,0))</f>
        <v>2587.315478</v>
      </c>
      <c r="L153" s="300">
        <f>IF(K$153="",L152*Corp_Tax,IF(L148&lt;&gt;0,L152*Corp_Tax,0))</f>
        <v>4920.522026</v>
      </c>
      <c r="M153" s="300">
        <f>IF(L$153="",M152*Corp_Tax,IF(M148&lt;&gt;0,M152*Corp_Tax,0))</f>
        <v>7125.146688</v>
      </c>
      <c r="N153" s="300">
        <f>IF(M$153="",N152*Corp_Tax,IF(N148&lt;&gt;0,N152*Corp_Tax,0))</f>
        <v>9201.189463</v>
      </c>
      <c r="O153" s="300">
        <f>IF(N$153="",O152*Corp_Tax,IF(O148&lt;&gt;0,O152*Corp_Tax,0))</f>
        <v>11148.65035</v>
      </c>
      <c r="P153" s="300">
        <f>IF(O$153="",P152*Corp_Tax,IF(P148&lt;&gt;0,P152*Corp_Tax,0))</f>
        <v>12967.52935</v>
      </c>
      <c r="Q153" s="300">
        <f>IF(P$153="",Q152*Corp_Tax,IF(Q148&lt;&gt;0,Q152*Corp_Tax,0))</f>
        <v>14657.82647</v>
      </c>
      <c r="R153" s="300">
        <f>IF(Q$153="",R152*Corp_Tax,IF(R148&lt;&gt;0,R152*Corp_Tax,0))</f>
        <v>16219.54169</v>
      </c>
      <c r="S153" s="300">
        <f>IF(R$153="",S152*Corp_Tax,IF(S148&lt;&gt;0,S152*Corp_Tax,0))</f>
        <v>17652.67503</v>
      </c>
      <c r="T153" s="300">
        <f>IF(S$153="",T152*Corp_Tax,IF(T148&lt;&gt;0,T152*Corp_Tax,0))</f>
        <v>18957.22649</v>
      </c>
      <c r="U153" s="300">
        <f>IF(T$153="",U152*Corp_Tax,IF(U148&lt;&gt;0,U152*Corp_Tax,0))</f>
        <v>20133.19605</v>
      </c>
      <c r="V153" s="300">
        <f>IF(U$153="",V152*Corp_Tax,IF(V148&lt;&gt;0,V152*Corp_Tax,0))</f>
        <v>21180.58373</v>
      </c>
      <c r="W153" s="300">
        <f>IF(V$153="",W152*Corp_Tax,IF(W148&lt;&gt;0,W152*Corp_Tax,0))</f>
        <v>22053.97498</v>
      </c>
      <c r="X153" s="300">
        <f>IF(W$153="",X152*Corp_Tax,IF(X148&lt;&gt;0,X152*Corp_Tax,0))</f>
        <v>22795.19784</v>
      </c>
      <c r="Y153" s="300">
        <f>IF(X$153="",Y152*Corp_Tax,IF(Y148&lt;&gt;0,Y152*Corp_Tax,0))</f>
        <v>23404.25234</v>
      </c>
      <c r="Z153" s="300">
        <f>IF(Y$153="",Z152*Corp_Tax,IF(Z148&lt;&gt;0,Z152*Corp_Tax,0))</f>
        <v>23881.13846</v>
      </c>
      <c r="AA153" s="300">
        <f>IF(Z$153="",AA152*Corp_Tax,IF(AA148&lt;&gt;0,AA152*Corp_Tax,0))</f>
        <v>24225.8562</v>
      </c>
      <c r="AB153" s="300">
        <f>IF(AA$153="",AB152*Corp_Tax,IF(AB148&lt;&gt;0,AB152*Corp_Tax,0))</f>
        <v>24438.40558</v>
      </c>
      <c r="AC153" s="300">
        <f>IF(AB$153="",AC152*Corp_Tax,IF(AC148&lt;&gt;0,AC152*Corp_Tax,0))</f>
        <v>24611.93277</v>
      </c>
      <c r="AD153" s="300">
        <f>IF(AC$153="",AD152*Corp_Tax,IF(AD148&lt;&gt;0,AD152*Corp_Tax,0))</f>
        <v>24746.04812</v>
      </c>
      <c r="AE153" s="300">
        <f>IF(AD$153="",AE152*Corp_Tax,IF(AE148&lt;&gt;0,AE152*Corp_Tax,0))</f>
        <v>24840.35778</v>
      </c>
      <c r="AF153" s="300">
        <f>IF(AE$153="",AF152*Corp_Tax,IF(AF148&lt;&gt;0,AF152*Corp_Tax,0))</f>
        <v>24894.46361</v>
      </c>
      <c r="AG153" s="300">
        <f>IF(AF$153="",AG152*Corp_Tax,IF(AG148&lt;&gt;0,AG152*Corp_Tax,0))</f>
        <v>24907.96316</v>
      </c>
      <c r="AH153" s="300">
        <f>IF(AG$153="",AH152*Corp_Tax,IF(AH148&lt;&gt;0,AH152*Corp_Tax,0))</f>
        <v>24880.44962</v>
      </c>
      <c r="AI153" s="300">
        <f>IF(AH$153="",AI152*Corp_Tax,IF(AI148&lt;&gt;0,AI152*Corp_Tax,0))</f>
        <v>24907.76674</v>
      </c>
      <c r="AJ153" s="300">
        <f>IF(AI$153="",AJ152*Corp_Tax,IF(AJ148&lt;&gt;0,AJ152*Corp_Tax,0))</f>
        <v>24900.6147</v>
      </c>
      <c r="AK153" s="300">
        <f>IF(AJ$153="",AK152*Corp_Tax,IF(AK148&lt;&gt;0,AK152*Corp_Tax,0))</f>
        <v>24858.73172</v>
      </c>
      <c r="AL153" s="300">
        <f>IF(AK$153="",AL152*Corp_Tax,IF(AL148&lt;&gt;0,AL152*Corp_Tax,0))</f>
        <v>24781.85383</v>
      </c>
      <c r="AM153" s="300">
        <f>IF(AL$153="",AM152*Corp_Tax,IF(AM148&lt;&gt;0,AM152*Corp_Tax,0))</f>
        <v>24669.71487</v>
      </c>
      <c r="AN153" s="300">
        <f>IF(AM$153="",AN152*Corp_Tax,IF(AN148&lt;&gt;0,AN152*Corp_Tax,0))</f>
        <v>24522.04645</v>
      </c>
      <c r="AO153" s="300">
        <f>IF(AN$153="",AO152*Corp_Tax,IF(AO148&lt;&gt;0,AO152*Corp_Tax,0))</f>
        <v>24338.57795</v>
      </c>
      <c r="AP153" s="300">
        <f>IF(AO$153="",AP152*Corp_Tax,IF(AP148&lt;&gt;0,AP152*Corp_Tax,0))</f>
        <v>24119.03649</v>
      </c>
      <c r="AQ153" s="300">
        <f>IF(AP$153="",AQ152*Corp_Tax,IF(AQ148&lt;&gt;0,AQ152*Corp_Tax,0))</f>
        <v>23863.14692</v>
      </c>
      <c r="AR153" s="300">
        <f>IF(AQ$153="",AR152*Corp_Tax,IF(AR148&lt;&gt;0,AR152*Corp_Tax,0))</f>
        <v>23570.63179</v>
      </c>
      <c r="AS153" s="300">
        <f>IF(AR$153="",AS152*Corp_Tax,IF(AS148&lt;&gt;0,AS152*Corp_Tax,0))</f>
        <v>23241.21136</v>
      </c>
      <c r="AT153" s="300">
        <f>IF(AS$153="",AT152*Corp_Tax,IF(AT148&lt;&gt;0,AT152*Corp_Tax,0))</f>
        <v>22874.60354</v>
      </c>
      <c r="AU153" s="300">
        <f>IF(AT$153="",AU152*Corp_Tax,IF(AU148&lt;&gt;0,AU152*Corp_Tax,0))</f>
        <v>22676.94077</v>
      </c>
      <c r="AV153" s="300">
        <f>IF(AU$153="",AV152*Corp_Tax,IF(AV148&lt;&gt;0,AV152*Corp_Tax,0))</f>
        <v>22448.50601</v>
      </c>
      <c r="AW153" s="300">
        <f>IF(AV$153="",AW152*Corp_Tax,IF(AW148&lt;&gt;0,AW152*Corp_Tax,0))</f>
        <v>22189.11447</v>
      </c>
      <c r="AX153" s="300">
        <f>IF(AW$153="",AX152*Corp_Tax,IF(AX148&lt;&gt;0,AX152*Corp_Tax,0))</f>
        <v>21898.58015</v>
      </c>
      <c r="AY153" s="300">
        <f>IF(AX$153="",AY152*Corp_Tax,IF(AY148&lt;&gt;0,AY152*Corp_Tax,0))</f>
        <v>21576.71579</v>
      </c>
      <c r="AZ153" s="300">
        <f>IF(AY$153="",AZ152*Corp_Tax,IF(AZ148&lt;&gt;0,AZ152*Corp_Tax,0))</f>
        <v>21223.33288</v>
      </c>
      <c r="BA153" s="300">
        <f>IF(AZ$153="",BA152*Corp_Tax,IF(BA148&lt;&gt;0,BA152*Corp_Tax,0))</f>
        <v>20838.24168</v>
      </c>
      <c r="BB153" s="300">
        <f>IF(BA$153="",BB152*Corp_Tax,IF(BB148&lt;&gt;0,BB152*Corp_Tax,0))</f>
        <v>20421.25115</v>
      </c>
      <c r="BC153" s="300">
        <f>IF(BB$153="",BC152*Corp_Tax,IF(BC148&lt;&gt;0,BC152*Corp_Tax,0))</f>
        <v>19972.16901</v>
      </c>
      <c r="BD153" s="300">
        <f>IF(BC$153="",BD152*Corp_Tax,IF(BD148&lt;&gt;0,BD152*Corp_Tax,0))</f>
        <v>19490.80167</v>
      </c>
      <c r="BE153" s="300">
        <f>IF(BD$153="",BE152*Corp_Tax,IF(BE148&lt;&gt;0,BE152*Corp_Tax,0))</f>
        <v>18976.95426</v>
      </c>
      <c r="BF153" s="300">
        <f>IF(BE$153="",BF152*Corp_Tax,IF(BF148&lt;&gt;0,BF152*Corp_Tax,0))</f>
        <v>18430.43061</v>
      </c>
      <c r="BG153" s="300">
        <f>IF(BF$153="",BG152*Corp_Tax,IF(BG148&lt;&gt;0,BG152*Corp_Tax,0))</f>
        <v>17269.35064</v>
      </c>
      <c r="BH153" s="300">
        <f>IF(BG$153="",BH152*Corp_Tax,IF(BH148&lt;&gt;0,BH152*Corp_Tax,0))</f>
        <v>16075.19816</v>
      </c>
      <c r="BI153" s="300">
        <f>IF(BH$153="",BI152*Corp_Tax,IF(BI148&lt;&gt;0,BI152*Corp_Tax,0))</f>
        <v>14847.77306</v>
      </c>
      <c r="BJ153" s="300">
        <f>IF(BI$153="",BJ152*Corp_Tax,IF(BJ148&lt;&gt;0,BJ152*Corp_Tax,0))</f>
        <v>13586.87389</v>
      </c>
      <c r="BK153" s="300">
        <f>IF(BJ$153="",BK152*Corp_Tax,IF(BK148&lt;&gt;0,BK152*Corp_Tax,0))</f>
        <v>12292.29785</v>
      </c>
      <c r="BL153" s="300">
        <f>IF(BK$153="",BL152*Corp_Tax,IF(BL148&lt;&gt;0,BL152*Corp_Tax,0))</f>
        <v>10963.8408</v>
      </c>
      <c r="BM153" s="300">
        <f>IF(BL$153="",BM152*Corp_Tax,IF(BM148&lt;&gt;0,BM152*Corp_Tax,0))</f>
        <v>9601.29722</v>
      </c>
      <c r="BN153" s="300">
        <f>IF(BM$153="",BN152*Corp_Tax,IF(BN148&lt;&gt;0,BN152*Corp_Tax,0))</f>
        <v>8204.460245</v>
      </c>
      <c r="BO153" s="300">
        <f>IF(BN$153="",BO152*Corp_Tax,IF(BO148&lt;&gt;0,BO152*Corp_Tax,0))</f>
        <v>6773.121612</v>
      </c>
      <c r="BP153" s="300">
        <f>IF(BO$153="",BP152*Corp_Tax,IF(BP148&lt;&gt;0,BP152*Corp_Tax,0))</f>
        <v>5307.071677</v>
      </c>
      <c r="BQ153" s="300">
        <f>IF(BP$153="",BQ152*Corp_Tax,IF(BQ148&lt;&gt;0,BQ152*Corp_Tax,0))</f>
        <v>3806.099397</v>
      </c>
      <c r="BR153" s="300">
        <f>IF(BQ$153="",BR152*Corp_Tax,IF(BR148&lt;&gt;0,BR152*Corp_Tax,0))</f>
        <v>2269.992321</v>
      </c>
      <c r="BS153" s="75"/>
    </row>
    <row r="154" ht="15.75" customHeight="1">
      <c r="A154" s="106"/>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301"/>
      <c r="AJ154" s="301"/>
      <c r="AK154" s="301"/>
      <c r="AL154" s="301"/>
      <c r="AM154" s="301"/>
      <c r="AN154" s="301"/>
      <c r="AO154" s="301"/>
      <c r="AP154" s="301"/>
      <c r="AQ154" s="301"/>
      <c r="AR154" s="301"/>
      <c r="AS154" s="301"/>
      <c r="AT154" s="301"/>
      <c r="AU154" s="301"/>
      <c r="AV154" s="301"/>
      <c r="AW154" s="301"/>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row>
    <row r="155" ht="15.75" customHeight="1">
      <c r="A155" s="80"/>
      <c r="B155" s="8" t="s">
        <v>346</v>
      </c>
      <c r="C155" s="92"/>
      <c r="D155" s="92"/>
      <c r="E155" s="92"/>
      <c r="F155" s="92"/>
      <c r="G155" s="92"/>
      <c r="H155" s="92"/>
      <c r="I155" s="92"/>
      <c r="J155" s="7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282"/>
    </row>
    <row r="156" ht="15.75" customHeight="1">
      <c r="A156" s="80"/>
      <c r="B156" s="298" t="s">
        <v>347</v>
      </c>
      <c r="C156" s="131"/>
      <c r="D156" s="102"/>
      <c r="E156" s="132"/>
      <c r="F156" s="132"/>
      <c r="G156" s="132"/>
      <c r="H156" s="132"/>
      <c r="I156" s="132"/>
      <c r="J156" s="92"/>
      <c r="K156" s="132" t="str">
        <f t="shared" ref="K156:BR156" si="150">J$159</f>
        <v/>
      </c>
      <c r="L156" s="132">
        <f t="shared" si="150"/>
        <v>0</v>
      </c>
      <c r="M156" s="132">
        <f t="shared" si="150"/>
        <v>0</v>
      </c>
      <c r="N156" s="132">
        <f t="shared" si="150"/>
        <v>0</v>
      </c>
      <c r="O156" s="132">
        <f t="shared" si="150"/>
        <v>0</v>
      </c>
      <c r="P156" s="132">
        <f t="shared" si="150"/>
        <v>0</v>
      </c>
      <c r="Q156" s="132">
        <f t="shared" si="150"/>
        <v>0</v>
      </c>
      <c r="R156" s="132">
        <f t="shared" si="150"/>
        <v>0</v>
      </c>
      <c r="S156" s="132">
        <f t="shared" si="150"/>
        <v>0</v>
      </c>
      <c r="T156" s="132">
        <f t="shared" si="150"/>
        <v>0</v>
      </c>
      <c r="U156" s="132">
        <f t="shared" si="150"/>
        <v>0</v>
      </c>
      <c r="V156" s="132">
        <f t="shared" si="150"/>
        <v>0</v>
      </c>
      <c r="W156" s="132">
        <f t="shared" si="150"/>
        <v>0</v>
      </c>
      <c r="X156" s="132">
        <f t="shared" si="150"/>
        <v>0</v>
      </c>
      <c r="Y156" s="132">
        <f t="shared" si="150"/>
        <v>0</v>
      </c>
      <c r="Z156" s="132">
        <f t="shared" si="150"/>
        <v>0</v>
      </c>
      <c r="AA156" s="132">
        <f t="shared" si="150"/>
        <v>0</v>
      </c>
      <c r="AB156" s="132">
        <f t="shared" si="150"/>
        <v>0</v>
      </c>
      <c r="AC156" s="132">
        <f t="shared" si="150"/>
        <v>0</v>
      </c>
      <c r="AD156" s="132">
        <f t="shared" si="150"/>
        <v>0</v>
      </c>
      <c r="AE156" s="132">
        <f t="shared" si="150"/>
        <v>0</v>
      </c>
      <c r="AF156" s="132">
        <f t="shared" si="150"/>
        <v>0</v>
      </c>
      <c r="AG156" s="132">
        <f t="shared" si="150"/>
        <v>0</v>
      </c>
      <c r="AH156" s="132">
        <f t="shared" si="150"/>
        <v>0</v>
      </c>
      <c r="AI156" s="132">
        <f t="shared" si="150"/>
        <v>0</v>
      </c>
      <c r="AJ156" s="132">
        <f t="shared" si="150"/>
        <v>0</v>
      </c>
      <c r="AK156" s="132">
        <f t="shared" si="150"/>
        <v>0</v>
      </c>
      <c r="AL156" s="132">
        <f t="shared" si="150"/>
        <v>0</v>
      </c>
      <c r="AM156" s="132">
        <f t="shared" si="150"/>
        <v>0</v>
      </c>
      <c r="AN156" s="132">
        <f t="shared" si="150"/>
        <v>0</v>
      </c>
      <c r="AO156" s="132">
        <f t="shared" si="150"/>
        <v>0</v>
      </c>
      <c r="AP156" s="132">
        <f t="shared" si="150"/>
        <v>0</v>
      </c>
      <c r="AQ156" s="132">
        <f t="shared" si="150"/>
        <v>0</v>
      </c>
      <c r="AR156" s="132">
        <f t="shared" si="150"/>
        <v>0</v>
      </c>
      <c r="AS156" s="132">
        <f t="shared" si="150"/>
        <v>0</v>
      </c>
      <c r="AT156" s="132">
        <f t="shared" si="150"/>
        <v>0</v>
      </c>
      <c r="AU156" s="132">
        <f t="shared" si="150"/>
        <v>0</v>
      </c>
      <c r="AV156" s="132">
        <f t="shared" si="150"/>
        <v>0</v>
      </c>
      <c r="AW156" s="132">
        <f t="shared" si="150"/>
        <v>0</v>
      </c>
      <c r="AX156" s="132">
        <f t="shared" si="150"/>
        <v>0</v>
      </c>
      <c r="AY156" s="132">
        <f t="shared" si="150"/>
        <v>0</v>
      </c>
      <c r="AZ156" s="132">
        <f t="shared" si="150"/>
        <v>0</v>
      </c>
      <c r="BA156" s="132">
        <f t="shared" si="150"/>
        <v>0</v>
      </c>
      <c r="BB156" s="132">
        <f t="shared" si="150"/>
        <v>0</v>
      </c>
      <c r="BC156" s="132">
        <f t="shared" si="150"/>
        <v>0</v>
      </c>
      <c r="BD156" s="132">
        <f t="shared" si="150"/>
        <v>0</v>
      </c>
      <c r="BE156" s="132">
        <f t="shared" si="150"/>
        <v>0</v>
      </c>
      <c r="BF156" s="132">
        <f t="shared" si="150"/>
        <v>0</v>
      </c>
      <c r="BG156" s="132">
        <f t="shared" si="150"/>
        <v>0</v>
      </c>
      <c r="BH156" s="132">
        <f t="shared" si="150"/>
        <v>0</v>
      </c>
      <c r="BI156" s="132">
        <f t="shared" si="150"/>
        <v>0</v>
      </c>
      <c r="BJ156" s="132">
        <f t="shared" si="150"/>
        <v>0</v>
      </c>
      <c r="BK156" s="132">
        <f t="shared" si="150"/>
        <v>0</v>
      </c>
      <c r="BL156" s="132">
        <f t="shared" si="150"/>
        <v>0</v>
      </c>
      <c r="BM156" s="132">
        <f t="shared" si="150"/>
        <v>0</v>
      </c>
      <c r="BN156" s="132">
        <f t="shared" si="150"/>
        <v>0</v>
      </c>
      <c r="BO156" s="132">
        <f t="shared" si="150"/>
        <v>0</v>
      </c>
      <c r="BP156" s="132">
        <f t="shared" si="150"/>
        <v>0</v>
      </c>
      <c r="BQ156" s="132">
        <f t="shared" si="150"/>
        <v>0</v>
      </c>
      <c r="BR156" s="132">
        <f t="shared" si="150"/>
        <v>0</v>
      </c>
      <c r="BS156" s="75"/>
    </row>
    <row r="157" ht="13.5" customHeight="1">
      <c r="A157" s="80"/>
      <c r="B157" s="92" t="s">
        <v>348</v>
      </c>
      <c r="C157" s="80"/>
      <c r="D157" s="82"/>
      <c r="E157" s="123"/>
      <c r="F157" s="123"/>
      <c r="G157" s="123"/>
      <c r="H157" s="123"/>
      <c r="I157" s="123"/>
      <c r="J157" s="119"/>
      <c r="K157" s="123">
        <f t="shared" ref="K157:BR157" si="151">K$85</f>
        <v>0</v>
      </c>
      <c r="L157" s="123">
        <f t="shared" si="151"/>
        <v>0</v>
      </c>
      <c r="M157" s="123">
        <f t="shared" si="151"/>
        <v>0</v>
      </c>
      <c r="N157" s="123">
        <f t="shared" si="151"/>
        <v>0</v>
      </c>
      <c r="O157" s="123">
        <f t="shared" si="151"/>
        <v>0</v>
      </c>
      <c r="P157" s="123">
        <f t="shared" si="151"/>
        <v>0</v>
      </c>
      <c r="Q157" s="123">
        <f t="shared" si="151"/>
        <v>0</v>
      </c>
      <c r="R157" s="123">
        <f t="shared" si="151"/>
        <v>0</v>
      </c>
      <c r="S157" s="123">
        <f t="shared" si="151"/>
        <v>0</v>
      </c>
      <c r="T157" s="123">
        <f t="shared" si="151"/>
        <v>0</v>
      </c>
      <c r="U157" s="123">
        <f t="shared" si="151"/>
        <v>0</v>
      </c>
      <c r="V157" s="123">
        <f t="shared" si="151"/>
        <v>0</v>
      </c>
      <c r="W157" s="123">
        <f t="shared" si="151"/>
        <v>0</v>
      </c>
      <c r="X157" s="123">
        <f t="shared" si="151"/>
        <v>0</v>
      </c>
      <c r="Y157" s="123">
        <f t="shared" si="151"/>
        <v>0</v>
      </c>
      <c r="Z157" s="123">
        <f t="shared" si="151"/>
        <v>0</v>
      </c>
      <c r="AA157" s="123">
        <f t="shared" si="151"/>
        <v>0</v>
      </c>
      <c r="AB157" s="123">
        <f t="shared" si="151"/>
        <v>0</v>
      </c>
      <c r="AC157" s="123">
        <f t="shared" si="151"/>
        <v>0</v>
      </c>
      <c r="AD157" s="123">
        <f t="shared" si="151"/>
        <v>0</v>
      </c>
      <c r="AE157" s="123">
        <f t="shared" si="151"/>
        <v>0</v>
      </c>
      <c r="AF157" s="123">
        <f t="shared" si="151"/>
        <v>0</v>
      </c>
      <c r="AG157" s="123">
        <f t="shared" si="151"/>
        <v>0</v>
      </c>
      <c r="AH157" s="123">
        <f t="shared" si="151"/>
        <v>0</v>
      </c>
      <c r="AI157" s="123">
        <f t="shared" si="151"/>
        <v>0</v>
      </c>
      <c r="AJ157" s="123">
        <f t="shared" si="151"/>
        <v>0</v>
      </c>
      <c r="AK157" s="123">
        <f t="shared" si="151"/>
        <v>0</v>
      </c>
      <c r="AL157" s="123">
        <f t="shared" si="151"/>
        <v>0</v>
      </c>
      <c r="AM157" s="123">
        <f t="shared" si="151"/>
        <v>0</v>
      </c>
      <c r="AN157" s="123">
        <f t="shared" si="151"/>
        <v>0</v>
      </c>
      <c r="AO157" s="123">
        <f t="shared" si="151"/>
        <v>0</v>
      </c>
      <c r="AP157" s="123">
        <f t="shared" si="151"/>
        <v>0</v>
      </c>
      <c r="AQ157" s="123">
        <f t="shared" si="151"/>
        <v>0</v>
      </c>
      <c r="AR157" s="123">
        <f t="shared" si="151"/>
        <v>0</v>
      </c>
      <c r="AS157" s="123">
        <f t="shared" si="151"/>
        <v>0</v>
      </c>
      <c r="AT157" s="123">
        <f t="shared" si="151"/>
        <v>0</v>
      </c>
      <c r="AU157" s="123">
        <f t="shared" si="151"/>
        <v>0</v>
      </c>
      <c r="AV157" s="123">
        <f t="shared" si="151"/>
        <v>0</v>
      </c>
      <c r="AW157" s="123">
        <f t="shared" si="151"/>
        <v>0</v>
      </c>
      <c r="AX157" s="123">
        <f t="shared" si="151"/>
        <v>0</v>
      </c>
      <c r="AY157" s="123">
        <f t="shared" si="151"/>
        <v>0</v>
      </c>
      <c r="AZ157" s="123">
        <f t="shared" si="151"/>
        <v>0</v>
      </c>
      <c r="BA157" s="123">
        <f t="shared" si="151"/>
        <v>0</v>
      </c>
      <c r="BB157" s="123">
        <f t="shared" si="151"/>
        <v>0</v>
      </c>
      <c r="BC157" s="123">
        <f t="shared" si="151"/>
        <v>0</v>
      </c>
      <c r="BD157" s="123">
        <f t="shared" si="151"/>
        <v>0</v>
      </c>
      <c r="BE157" s="123">
        <f t="shared" si="151"/>
        <v>0</v>
      </c>
      <c r="BF157" s="123">
        <f t="shared" si="151"/>
        <v>0</v>
      </c>
      <c r="BG157" s="123">
        <f t="shared" si="151"/>
        <v>0</v>
      </c>
      <c r="BH157" s="123">
        <f t="shared" si="151"/>
        <v>0</v>
      </c>
      <c r="BI157" s="123">
        <f t="shared" si="151"/>
        <v>0</v>
      </c>
      <c r="BJ157" s="123">
        <f t="shared" si="151"/>
        <v>0</v>
      </c>
      <c r="BK157" s="123">
        <f t="shared" si="151"/>
        <v>0</v>
      </c>
      <c r="BL157" s="123">
        <f t="shared" si="151"/>
        <v>0</v>
      </c>
      <c r="BM157" s="123">
        <f t="shared" si="151"/>
        <v>0</v>
      </c>
      <c r="BN157" s="123">
        <f t="shared" si="151"/>
        <v>0</v>
      </c>
      <c r="BO157" s="123">
        <f t="shared" si="151"/>
        <v>0</v>
      </c>
      <c r="BP157" s="123">
        <f t="shared" si="151"/>
        <v>0</v>
      </c>
      <c r="BQ157" s="123">
        <f t="shared" si="151"/>
        <v>0</v>
      </c>
      <c r="BR157" s="123">
        <f t="shared" si="151"/>
        <v>0</v>
      </c>
      <c r="BS157" s="119"/>
    </row>
    <row r="158" ht="13.5" customHeight="1">
      <c r="A158" s="80"/>
      <c r="B158" s="92" t="s">
        <v>349</v>
      </c>
      <c r="C158" s="80"/>
      <c r="D158" s="82"/>
      <c r="E158" s="123"/>
      <c r="F158" s="123"/>
      <c r="G158" s="123"/>
      <c r="H158" s="123"/>
      <c r="I158" s="123"/>
      <c r="J158" s="119"/>
      <c r="K158" s="123">
        <f>IF(K$8&lt;&gt;1,0,-OFFSET(K$159,0,-Corp_Tax_Pay_Lag))</f>
        <v>0</v>
      </c>
      <c r="L158" s="123">
        <f>IF(L$8&lt;&gt;1,0,-OFFSET(L$159,0,-Corp_Tax_Pay_Lag))</f>
        <v>0</v>
      </c>
      <c r="M158" s="123">
        <f>IF(M$8&lt;&gt;1,0,-OFFSET(M$159,0,-Corp_Tax_Pay_Lag))</f>
        <v>0</v>
      </c>
      <c r="N158" s="123">
        <f>IF(N$8&lt;&gt;1,0,-OFFSET(N$159,0,-Corp_Tax_Pay_Lag))</f>
        <v>0</v>
      </c>
      <c r="O158" s="123">
        <f>IF(O$8&lt;&gt;1,0,-OFFSET(O$159,0,-Corp_Tax_Pay_Lag))</f>
        <v>0</v>
      </c>
      <c r="P158" s="123">
        <f>IF(P$8&lt;&gt;1,0,-OFFSET(P$159,0,-Corp_Tax_Pay_Lag))</f>
        <v>0</v>
      </c>
      <c r="Q158" s="123">
        <f>IF(Q$8&lt;&gt;1,0,-OFFSET(Q$159,0,-Corp_Tax_Pay_Lag))</f>
        <v>0</v>
      </c>
      <c r="R158" s="123">
        <f>IF(R$8&lt;&gt;1,0,-OFFSET(R$159,0,-Corp_Tax_Pay_Lag))</f>
        <v>0</v>
      </c>
      <c r="S158" s="123">
        <f>IF(S$8&lt;&gt;1,0,-OFFSET(S$159,0,-Corp_Tax_Pay_Lag))</f>
        <v>0</v>
      </c>
      <c r="T158" s="123">
        <f>IF(T$8&lt;&gt;1,0,-OFFSET(T$159,0,-Corp_Tax_Pay_Lag))</f>
        <v>0</v>
      </c>
      <c r="U158" s="123">
        <f>IF(U$8&lt;&gt;1,0,-OFFSET(U$159,0,-Corp_Tax_Pay_Lag))</f>
        <v>0</v>
      </c>
      <c r="V158" s="123">
        <f>IF(V$8&lt;&gt;1,0,-OFFSET(V$159,0,-Corp_Tax_Pay_Lag))</f>
        <v>0</v>
      </c>
      <c r="W158" s="123">
        <f>IF(W$8&lt;&gt;1,0,-OFFSET(W$159,0,-Corp_Tax_Pay_Lag))</f>
        <v>0</v>
      </c>
      <c r="X158" s="123">
        <f>IF(X$8&lt;&gt;1,0,-OFFSET(X$159,0,-Corp_Tax_Pay_Lag))</f>
        <v>0</v>
      </c>
      <c r="Y158" s="123">
        <f>IF(Y$8&lt;&gt;1,0,-OFFSET(Y$159,0,-Corp_Tax_Pay_Lag))</f>
        <v>0</v>
      </c>
      <c r="Z158" s="123">
        <f>IF(Z$8&lt;&gt;1,0,-OFFSET(Z$159,0,-Corp_Tax_Pay_Lag))</f>
        <v>0</v>
      </c>
      <c r="AA158" s="123">
        <f>IF(AA$8&lt;&gt;1,0,-OFFSET(AA$159,0,-Corp_Tax_Pay_Lag))</f>
        <v>0</v>
      </c>
      <c r="AB158" s="123">
        <f>IF(AB$8&lt;&gt;1,0,-OFFSET(AB$159,0,-Corp_Tax_Pay_Lag))</f>
        <v>0</v>
      </c>
      <c r="AC158" s="123">
        <f>IF(AC$8&lt;&gt;1,0,-OFFSET(AC$159,0,-Corp_Tax_Pay_Lag))</f>
        <v>0</v>
      </c>
      <c r="AD158" s="123">
        <f>IF(AD$8&lt;&gt;1,0,-OFFSET(AD$159,0,-Corp_Tax_Pay_Lag))</f>
        <v>0</v>
      </c>
      <c r="AE158" s="123">
        <f>IF(AE$8&lt;&gt;1,0,-OFFSET(AE$159,0,-Corp_Tax_Pay_Lag))</f>
        <v>0</v>
      </c>
      <c r="AF158" s="123">
        <f>IF(AF$8&lt;&gt;1,0,-OFFSET(AF$159,0,-Corp_Tax_Pay_Lag))</f>
        <v>0</v>
      </c>
      <c r="AG158" s="123">
        <f>IF(AG$8&lt;&gt;1,0,-OFFSET(AG$159,0,-Corp_Tax_Pay_Lag))</f>
        <v>0</v>
      </c>
      <c r="AH158" s="123">
        <f>IF(AH$8&lt;&gt;1,0,-OFFSET(AH$159,0,-Corp_Tax_Pay_Lag))</f>
        <v>0</v>
      </c>
      <c r="AI158" s="123">
        <f>IF(AI$8&lt;&gt;1,0,-OFFSET(AI$159,0,-Corp_Tax_Pay_Lag))</f>
        <v>0</v>
      </c>
      <c r="AJ158" s="123">
        <f>IF(AJ$8&lt;&gt;1,0,-OFFSET(AJ$159,0,-Corp_Tax_Pay_Lag))</f>
        <v>0</v>
      </c>
      <c r="AK158" s="123">
        <f>IF(AK$8&lt;&gt;1,0,-OFFSET(AK$159,0,-Corp_Tax_Pay_Lag))</f>
        <v>0</v>
      </c>
      <c r="AL158" s="123">
        <f>IF(AL$8&lt;&gt;1,0,-OFFSET(AL$159,0,-Corp_Tax_Pay_Lag))</f>
        <v>0</v>
      </c>
      <c r="AM158" s="123">
        <f>IF(AM$8&lt;&gt;1,0,-OFFSET(AM$159,0,-Corp_Tax_Pay_Lag))</f>
        <v>0</v>
      </c>
      <c r="AN158" s="123">
        <f>IF(AN$8&lt;&gt;1,0,-OFFSET(AN$159,0,-Corp_Tax_Pay_Lag))</f>
        <v>0</v>
      </c>
      <c r="AO158" s="123">
        <f>IF(AO$8&lt;&gt;1,0,-OFFSET(AO$159,0,-Corp_Tax_Pay_Lag))</f>
        <v>0</v>
      </c>
      <c r="AP158" s="123">
        <f>IF(AP$8&lt;&gt;1,0,-OFFSET(AP$159,0,-Corp_Tax_Pay_Lag))</f>
        <v>0</v>
      </c>
      <c r="AQ158" s="123">
        <f>IF(AQ$8&lt;&gt;1,0,-OFFSET(AQ$159,0,-Corp_Tax_Pay_Lag))</f>
        <v>0</v>
      </c>
      <c r="AR158" s="123">
        <f>IF(AR$8&lt;&gt;1,0,-OFFSET(AR$159,0,-Corp_Tax_Pay_Lag))</f>
        <v>0</v>
      </c>
      <c r="AS158" s="123">
        <f>IF(AS$8&lt;&gt;1,0,-OFFSET(AS$159,0,-Corp_Tax_Pay_Lag))</f>
        <v>0</v>
      </c>
      <c r="AT158" s="123">
        <f>IF(AT$8&lt;&gt;1,0,-OFFSET(AT$159,0,-Corp_Tax_Pay_Lag))</f>
        <v>0</v>
      </c>
      <c r="AU158" s="123">
        <f>IF(AU$8&lt;&gt;1,0,-OFFSET(AU$159,0,-Corp_Tax_Pay_Lag))</f>
        <v>0</v>
      </c>
      <c r="AV158" s="123">
        <f>IF(AV$8&lt;&gt;1,0,-OFFSET(AV$159,0,-Corp_Tax_Pay_Lag))</f>
        <v>0</v>
      </c>
      <c r="AW158" s="123">
        <f>IF(AW$8&lt;&gt;1,0,-OFFSET(AW$159,0,-Corp_Tax_Pay_Lag))</f>
        <v>0</v>
      </c>
      <c r="AX158" s="123">
        <f>IF(AX$8&lt;&gt;1,0,-OFFSET(AX$159,0,-Corp_Tax_Pay_Lag))</f>
        <v>0</v>
      </c>
      <c r="AY158" s="123">
        <f>IF(AY$8&lt;&gt;1,0,-OFFSET(AY$159,0,-Corp_Tax_Pay_Lag))</f>
        <v>0</v>
      </c>
      <c r="AZ158" s="123">
        <f>IF(AZ$8&lt;&gt;1,0,-OFFSET(AZ$159,0,-Corp_Tax_Pay_Lag))</f>
        <v>0</v>
      </c>
      <c r="BA158" s="123">
        <f>IF(BA$8&lt;&gt;1,0,-OFFSET(BA$159,0,-Corp_Tax_Pay_Lag))</f>
        <v>0</v>
      </c>
      <c r="BB158" s="123">
        <f>IF(BB$8&lt;&gt;1,0,-OFFSET(BB$159,0,-Corp_Tax_Pay_Lag))</f>
        <v>0</v>
      </c>
      <c r="BC158" s="123">
        <f>IF(BC$8&lt;&gt;1,0,-OFFSET(BC$159,0,-Corp_Tax_Pay_Lag))</f>
        <v>0</v>
      </c>
      <c r="BD158" s="123">
        <f>IF(BD$8&lt;&gt;1,0,-OFFSET(BD$159,0,-Corp_Tax_Pay_Lag))</f>
        <v>0</v>
      </c>
      <c r="BE158" s="123">
        <f>IF(BE$8&lt;&gt;1,0,-OFFSET(BE$159,0,-Corp_Tax_Pay_Lag))</f>
        <v>0</v>
      </c>
      <c r="BF158" s="123">
        <f>IF(BF$8&lt;&gt;1,0,-OFFSET(BF$159,0,-Corp_Tax_Pay_Lag))</f>
        <v>0</v>
      </c>
      <c r="BG158" s="123">
        <f>IF(BG$8&lt;&gt;1,0,-OFFSET(BG$159,0,-Corp_Tax_Pay_Lag))</f>
        <v>0</v>
      </c>
      <c r="BH158" s="123">
        <f>IF(BH$8&lt;&gt;1,0,-OFFSET(BH$159,0,-Corp_Tax_Pay_Lag))</f>
        <v>0</v>
      </c>
      <c r="BI158" s="123">
        <f>IF(BI$8&lt;&gt;1,0,-OFFSET(BI$159,0,-Corp_Tax_Pay_Lag))</f>
        <v>0</v>
      </c>
      <c r="BJ158" s="123">
        <f>IF(BJ$8&lt;&gt;1,0,-OFFSET(BJ$159,0,-Corp_Tax_Pay_Lag))</f>
        <v>0</v>
      </c>
      <c r="BK158" s="123">
        <f>IF(BK$8&lt;&gt;1,0,-OFFSET(BK$159,0,-Corp_Tax_Pay_Lag))</f>
        <v>0</v>
      </c>
      <c r="BL158" s="123">
        <f>IF(BL$8&lt;&gt;1,0,-OFFSET(BL$159,0,-Corp_Tax_Pay_Lag))</f>
        <v>0</v>
      </c>
      <c r="BM158" s="123">
        <f>IF(BM$8&lt;&gt;1,0,-OFFSET(BM$159,0,-Corp_Tax_Pay_Lag))</f>
        <v>0</v>
      </c>
      <c r="BN158" s="123">
        <f>IF(BN$8&lt;&gt;1,0,-OFFSET(BN$159,0,-Corp_Tax_Pay_Lag))</f>
        <v>0</v>
      </c>
      <c r="BO158" s="123">
        <f>IF(BO$8&lt;&gt;1,0,-OFFSET(BO$159,0,-Corp_Tax_Pay_Lag))</f>
        <v>0</v>
      </c>
      <c r="BP158" s="123">
        <f>IF(BP$8&lt;&gt;1,0,-OFFSET(BP$159,0,-Corp_Tax_Pay_Lag))</f>
        <v>0</v>
      </c>
      <c r="BQ158" s="123">
        <f>IF(BQ$8&lt;&gt;1,0,-OFFSET(BQ$159,0,-Corp_Tax_Pay_Lag))</f>
        <v>0</v>
      </c>
      <c r="BR158" s="123">
        <f>IF(BR$8&lt;&gt;1,0,-OFFSET(BR$159,0,-Corp_Tax_Pay_Lag))</f>
        <v>0</v>
      </c>
      <c r="BS158" s="119"/>
    </row>
    <row r="159" ht="15.75" customHeight="1">
      <c r="A159" s="80"/>
      <c r="B159" s="98" t="s">
        <v>350</v>
      </c>
      <c r="C159" s="98"/>
      <c r="D159" s="99"/>
      <c r="E159" s="300"/>
      <c r="F159" s="300"/>
      <c r="G159" s="300"/>
      <c r="H159" s="300"/>
      <c r="I159" s="300"/>
      <c r="J159" s="92"/>
      <c r="K159" s="300">
        <f t="shared" ref="K159:BR159" si="152">SUM(K156:K158)</f>
        <v>0</v>
      </c>
      <c r="L159" s="300">
        <f t="shared" si="152"/>
        <v>0</v>
      </c>
      <c r="M159" s="300">
        <f t="shared" si="152"/>
        <v>0</v>
      </c>
      <c r="N159" s="300">
        <f t="shared" si="152"/>
        <v>0</v>
      </c>
      <c r="O159" s="300">
        <f t="shared" si="152"/>
        <v>0</v>
      </c>
      <c r="P159" s="300">
        <f t="shared" si="152"/>
        <v>0</v>
      </c>
      <c r="Q159" s="300">
        <f t="shared" si="152"/>
        <v>0</v>
      </c>
      <c r="R159" s="300">
        <f t="shared" si="152"/>
        <v>0</v>
      </c>
      <c r="S159" s="300">
        <f t="shared" si="152"/>
        <v>0</v>
      </c>
      <c r="T159" s="300">
        <f t="shared" si="152"/>
        <v>0</v>
      </c>
      <c r="U159" s="300">
        <f t="shared" si="152"/>
        <v>0</v>
      </c>
      <c r="V159" s="300">
        <f t="shared" si="152"/>
        <v>0</v>
      </c>
      <c r="W159" s="300">
        <f t="shared" si="152"/>
        <v>0</v>
      </c>
      <c r="X159" s="300">
        <f t="shared" si="152"/>
        <v>0</v>
      </c>
      <c r="Y159" s="300">
        <f t="shared" si="152"/>
        <v>0</v>
      </c>
      <c r="Z159" s="300">
        <f t="shared" si="152"/>
        <v>0</v>
      </c>
      <c r="AA159" s="300">
        <f t="shared" si="152"/>
        <v>0</v>
      </c>
      <c r="AB159" s="300">
        <f t="shared" si="152"/>
        <v>0</v>
      </c>
      <c r="AC159" s="300">
        <f t="shared" si="152"/>
        <v>0</v>
      </c>
      <c r="AD159" s="300">
        <f t="shared" si="152"/>
        <v>0</v>
      </c>
      <c r="AE159" s="300">
        <f t="shared" si="152"/>
        <v>0</v>
      </c>
      <c r="AF159" s="300">
        <f t="shared" si="152"/>
        <v>0</v>
      </c>
      <c r="AG159" s="300">
        <f t="shared" si="152"/>
        <v>0</v>
      </c>
      <c r="AH159" s="300">
        <f t="shared" si="152"/>
        <v>0</v>
      </c>
      <c r="AI159" s="300">
        <f t="shared" si="152"/>
        <v>0</v>
      </c>
      <c r="AJ159" s="300">
        <f t="shared" si="152"/>
        <v>0</v>
      </c>
      <c r="AK159" s="300">
        <f t="shared" si="152"/>
        <v>0</v>
      </c>
      <c r="AL159" s="300">
        <f t="shared" si="152"/>
        <v>0</v>
      </c>
      <c r="AM159" s="300">
        <f t="shared" si="152"/>
        <v>0</v>
      </c>
      <c r="AN159" s="300">
        <f t="shared" si="152"/>
        <v>0</v>
      </c>
      <c r="AO159" s="300">
        <f t="shared" si="152"/>
        <v>0</v>
      </c>
      <c r="AP159" s="300">
        <f t="shared" si="152"/>
        <v>0</v>
      </c>
      <c r="AQ159" s="300">
        <f t="shared" si="152"/>
        <v>0</v>
      </c>
      <c r="AR159" s="300">
        <f t="shared" si="152"/>
        <v>0</v>
      </c>
      <c r="AS159" s="300">
        <f t="shared" si="152"/>
        <v>0</v>
      </c>
      <c r="AT159" s="300">
        <f t="shared" si="152"/>
        <v>0</v>
      </c>
      <c r="AU159" s="300">
        <f t="shared" si="152"/>
        <v>0</v>
      </c>
      <c r="AV159" s="300">
        <f t="shared" si="152"/>
        <v>0</v>
      </c>
      <c r="AW159" s="300">
        <f t="shared" si="152"/>
        <v>0</v>
      </c>
      <c r="AX159" s="300">
        <f t="shared" si="152"/>
        <v>0</v>
      </c>
      <c r="AY159" s="300">
        <f t="shared" si="152"/>
        <v>0</v>
      </c>
      <c r="AZ159" s="300">
        <f t="shared" si="152"/>
        <v>0</v>
      </c>
      <c r="BA159" s="300">
        <f t="shared" si="152"/>
        <v>0</v>
      </c>
      <c r="BB159" s="300">
        <f t="shared" si="152"/>
        <v>0</v>
      </c>
      <c r="BC159" s="300">
        <f t="shared" si="152"/>
        <v>0</v>
      </c>
      <c r="BD159" s="300">
        <f t="shared" si="152"/>
        <v>0</v>
      </c>
      <c r="BE159" s="300">
        <f t="shared" si="152"/>
        <v>0</v>
      </c>
      <c r="BF159" s="300">
        <f t="shared" si="152"/>
        <v>0</v>
      </c>
      <c r="BG159" s="300">
        <f t="shared" si="152"/>
        <v>0</v>
      </c>
      <c r="BH159" s="300">
        <f t="shared" si="152"/>
        <v>0</v>
      </c>
      <c r="BI159" s="300">
        <f t="shared" si="152"/>
        <v>0</v>
      </c>
      <c r="BJ159" s="300">
        <f t="shared" si="152"/>
        <v>0</v>
      </c>
      <c r="BK159" s="300">
        <f t="shared" si="152"/>
        <v>0</v>
      </c>
      <c r="BL159" s="300">
        <f t="shared" si="152"/>
        <v>0</v>
      </c>
      <c r="BM159" s="300">
        <f t="shared" si="152"/>
        <v>0</v>
      </c>
      <c r="BN159" s="300">
        <f t="shared" si="152"/>
        <v>0</v>
      </c>
      <c r="BO159" s="300">
        <f t="shared" si="152"/>
        <v>0</v>
      </c>
      <c r="BP159" s="300">
        <f t="shared" si="152"/>
        <v>0</v>
      </c>
      <c r="BQ159" s="300">
        <f t="shared" si="152"/>
        <v>0</v>
      </c>
      <c r="BR159" s="300">
        <f t="shared" si="152"/>
        <v>0</v>
      </c>
      <c r="BS159" s="75"/>
    </row>
    <row r="160" ht="15.75" customHeight="1">
      <c r="A160" s="106"/>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row>
    <row r="161" ht="15.75" customHeight="1">
      <c r="A161" s="80"/>
      <c r="B161" s="136" t="s">
        <v>136</v>
      </c>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5"/>
      <c r="BS161" s="282"/>
    </row>
    <row r="162" ht="13.5" customHeight="1">
      <c r="A162" s="80"/>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row>
    <row r="163" ht="13.5" customHeight="1">
      <c r="A163" s="80"/>
      <c r="B163" s="319" t="s">
        <v>351</v>
      </c>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row>
    <row r="164" ht="13.5" customHeight="1">
      <c r="A164" s="80"/>
      <c r="B164" s="81" t="s">
        <v>352</v>
      </c>
      <c r="C164" s="317"/>
      <c r="D164" s="82"/>
      <c r="E164" s="123">
        <f t="shared" ref="E164:I164" si="153">SUMIFS($K164:$BR164,$K$2:$BR$2,E$1)</f>
        <v>289602.7213</v>
      </c>
      <c r="F164" s="123">
        <f t="shared" si="153"/>
        <v>511549.5228</v>
      </c>
      <c r="G164" s="123">
        <f t="shared" si="153"/>
        <v>593591.9543</v>
      </c>
      <c r="H164" s="123">
        <f t="shared" si="153"/>
        <v>648639.9653</v>
      </c>
      <c r="I164" s="123">
        <f t="shared" si="153"/>
        <v>702476.7625</v>
      </c>
      <c r="J164" s="119"/>
      <c r="K164" s="123">
        <f t="shared" ref="K164:BR164" si="154">K$26</f>
        <v>13174.85</v>
      </c>
      <c r="L164" s="123">
        <f t="shared" si="154"/>
        <v>16590.55185</v>
      </c>
      <c r="M164" s="123">
        <f t="shared" si="154"/>
        <v>18298.40278</v>
      </c>
      <c r="N164" s="123">
        <f t="shared" si="154"/>
        <v>20006.2537</v>
      </c>
      <c r="O164" s="123">
        <f t="shared" si="154"/>
        <v>21714.10463</v>
      </c>
      <c r="P164" s="123">
        <f t="shared" si="154"/>
        <v>23421.95556</v>
      </c>
      <c r="Q164" s="123">
        <f t="shared" si="154"/>
        <v>25129.80648</v>
      </c>
      <c r="R164" s="123">
        <f t="shared" si="154"/>
        <v>26837.65741</v>
      </c>
      <c r="S164" s="123">
        <f t="shared" si="154"/>
        <v>28545.50833</v>
      </c>
      <c r="T164" s="123">
        <f t="shared" si="154"/>
        <v>30253.35926</v>
      </c>
      <c r="U164" s="123">
        <f t="shared" si="154"/>
        <v>31961.21019</v>
      </c>
      <c r="V164" s="123">
        <f t="shared" si="154"/>
        <v>33669.06111</v>
      </c>
      <c r="W164" s="123">
        <f t="shared" si="154"/>
        <v>35376.91204</v>
      </c>
      <c r="X164" s="123">
        <f t="shared" si="154"/>
        <v>37084.76296</v>
      </c>
      <c r="Y164" s="123">
        <f t="shared" si="154"/>
        <v>38792.61389</v>
      </c>
      <c r="Z164" s="123">
        <f t="shared" si="154"/>
        <v>40500.46481</v>
      </c>
      <c r="AA164" s="123">
        <f t="shared" si="154"/>
        <v>42208.31574</v>
      </c>
      <c r="AB164" s="123">
        <f t="shared" si="154"/>
        <v>43916.16667</v>
      </c>
      <c r="AC164" s="123">
        <f t="shared" si="154"/>
        <v>44391.92514</v>
      </c>
      <c r="AD164" s="123">
        <f t="shared" si="154"/>
        <v>44872.83766</v>
      </c>
      <c r="AE164" s="123">
        <f t="shared" si="154"/>
        <v>45358.96007</v>
      </c>
      <c r="AF164" s="123">
        <f t="shared" si="154"/>
        <v>45850.3488</v>
      </c>
      <c r="AG164" s="123">
        <f t="shared" si="154"/>
        <v>46347.06092</v>
      </c>
      <c r="AH164" s="123">
        <f t="shared" si="154"/>
        <v>46849.15408</v>
      </c>
      <c r="AI164" s="123">
        <f t="shared" si="154"/>
        <v>47239.56369</v>
      </c>
      <c r="AJ164" s="123">
        <f t="shared" si="154"/>
        <v>47633.22672</v>
      </c>
      <c r="AK164" s="123">
        <f t="shared" si="154"/>
        <v>48030.17028</v>
      </c>
      <c r="AL164" s="123">
        <f t="shared" si="154"/>
        <v>48430.4217</v>
      </c>
      <c r="AM164" s="123">
        <f t="shared" si="154"/>
        <v>48834.00855</v>
      </c>
      <c r="AN164" s="123">
        <f t="shared" si="154"/>
        <v>49240.95862</v>
      </c>
      <c r="AO164" s="123">
        <f t="shared" si="154"/>
        <v>49651.29994</v>
      </c>
      <c r="AP164" s="123">
        <f t="shared" si="154"/>
        <v>50065.06077</v>
      </c>
      <c r="AQ164" s="123">
        <f t="shared" si="154"/>
        <v>50482.26961</v>
      </c>
      <c r="AR164" s="123">
        <f t="shared" si="154"/>
        <v>50902.95519</v>
      </c>
      <c r="AS164" s="123">
        <f t="shared" si="154"/>
        <v>51327.14648</v>
      </c>
      <c r="AT164" s="123">
        <f t="shared" si="154"/>
        <v>51754.87271</v>
      </c>
      <c r="AU164" s="123">
        <f t="shared" si="154"/>
        <v>52099.90519</v>
      </c>
      <c r="AV164" s="123">
        <f t="shared" si="154"/>
        <v>52447.23789</v>
      </c>
      <c r="AW164" s="123">
        <f t="shared" si="154"/>
        <v>52796.88614</v>
      </c>
      <c r="AX164" s="123">
        <f t="shared" si="154"/>
        <v>53148.86539</v>
      </c>
      <c r="AY164" s="123">
        <f t="shared" si="154"/>
        <v>53503.19115</v>
      </c>
      <c r="AZ164" s="123">
        <f t="shared" si="154"/>
        <v>53859.8791</v>
      </c>
      <c r="BA164" s="123">
        <f t="shared" si="154"/>
        <v>54218.94496</v>
      </c>
      <c r="BB164" s="123">
        <f t="shared" si="154"/>
        <v>54580.40459</v>
      </c>
      <c r="BC164" s="123">
        <f t="shared" si="154"/>
        <v>54944.27395</v>
      </c>
      <c r="BD164" s="123">
        <f t="shared" si="154"/>
        <v>55310.56911</v>
      </c>
      <c r="BE164" s="123">
        <f t="shared" si="154"/>
        <v>55679.30624</v>
      </c>
      <c r="BF164" s="123">
        <f t="shared" si="154"/>
        <v>56050.50161</v>
      </c>
      <c r="BG164" s="123">
        <f t="shared" si="154"/>
        <v>56424.17163</v>
      </c>
      <c r="BH164" s="123">
        <f t="shared" si="154"/>
        <v>56800.33277</v>
      </c>
      <c r="BI164" s="123">
        <f t="shared" si="154"/>
        <v>57179.00166</v>
      </c>
      <c r="BJ164" s="123">
        <f t="shared" si="154"/>
        <v>57560.195</v>
      </c>
      <c r="BK164" s="123">
        <f t="shared" si="154"/>
        <v>57943.92963</v>
      </c>
      <c r="BL164" s="123">
        <f t="shared" si="154"/>
        <v>58330.2225</v>
      </c>
      <c r="BM164" s="123">
        <f t="shared" si="154"/>
        <v>58719.09065</v>
      </c>
      <c r="BN164" s="123">
        <f t="shared" si="154"/>
        <v>59110.55125</v>
      </c>
      <c r="BO164" s="123">
        <f t="shared" si="154"/>
        <v>59504.62159</v>
      </c>
      <c r="BP164" s="123">
        <f t="shared" si="154"/>
        <v>59901.31907</v>
      </c>
      <c r="BQ164" s="123">
        <f t="shared" si="154"/>
        <v>60300.6612</v>
      </c>
      <c r="BR164" s="123">
        <f t="shared" si="154"/>
        <v>60702.66561</v>
      </c>
      <c r="BS164" s="119"/>
    </row>
    <row r="165" ht="13.5" customHeight="1">
      <c r="A165" s="91"/>
      <c r="B165" s="283" t="s">
        <v>353</v>
      </c>
      <c r="C165" s="91"/>
      <c r="D165" s="284"/>
      <c r="E165" s="320">
        <f>Acc_Rec_Days</f>
        <v>30</v>
      </c>
      <c r="F165" s="320">
        <f>Acc_Rec_Days</f>
        <v>30</v>
      </c>
      <c r="G165" s="320">
        <f>Acc_Rec_Days</f>
        <v>30</v>
      </c>
      <c r="H165" s="320">
        <f>Acc_Rec_Days</f>
        <v>30</v>
      </c>
      <c r="I165" s="320">
        <f>Acc_Rec_Days</f>
        <v>30</v>
      </c>
      <c r="J165" s="321"/>
      <c r="K165" s="320">
        <f>Acc_Rec_Days</f>
        <v>30</v>
      </c>
      <c r="L165" s="320">
        <f>Acc_Rec_Days</f>
        <v>30</v>
      </c>
      <c r="M165" s="320">
        <f>Acc_Rec_Days</f>
        <v>30</v>
      </c>
      <c r="N165" s="320">
        <f>Acc_Rec_Days</f>
        <v>30</v>
      </c>
      <c r="O165" s="320">
        <f>Acc_Rec_Days</f>
        <v>30</v>
      </c>
      <c r="P165" s="320">
        <f>Acc_Rec_Days</f>
        <v>30</v>
      </c>
      <c r="Q165" s="320">
        <f>Acc_Rec_Days</f>
        <v>30</v>
      </c>
      <c r="R165" s="320">
        <f>Acc_Rec_Days</f>
        <v>30</v>
      </c>
      <c r="S165" s="320">
        <f>Acc_Rec_Days</f>
        <v>30</v>
      </c>
      <c r="T165" s="320">
        <f>Acc_Rec_Days</f>
        <v>30</v>
      </c>
      <c r="U165" s="320">
        <f>Acc_Rec_Days</f>
        <v>30</v>
      </c>
      <c r="V165" s="320">
        <f>Acc_Rec_Days</f>
        <v>30</v>
      </c>
      <c r="W165" s="320">
        <f>Acc_Rec_Days</f>
        <v>30</v>
      </c>
      <c r="X165" s="320">
        <f>Acc_Rec_Days</f>
        <v>30</v>
      </c>
      <c r="Y165" s="320">
        <f>Acc_Rec_Days</f>
        <v>30</v>
      </c>
      <c r="Z165" s="320">
        <f>Acc_Rec_Days</f>
        <v>30</v>
      </c>
      <c r="AA165" s="320">
        <f>Acc_Rec_Days</f>
        <v>30</v>
      </c>
      <c r="AB165" s="320">
        <f>Acc_Rec_Days</f>
        <v>30</v>
      </c>
      <c r="AC165" s="320">
        <f>Acc_Rec_Days</f>
        <v>30</v>
      </c>
      <c r="AD165" s="320">
        <f>Acc_Rec_Days</f>
        <v>30</v>
      </c>
      <c r="AE165" s="320">
        <f>Acc_Rec_Days</f>
        <v>30</v>
      </c>
      <c r="AF165" s="320">
        <f>Acc_Rec_Days</f>
        <v>30</v>
      </c>
      <c r="AG165" s="320">
        <f>Acc_Rec_Days</f>
        <v>30</v>
      </c>
      <c r="AH165" s="320">
        <f>Acc_Rec_Days</f>
        <v>30</v>
      </c>
      <c r="AI165" s="320">
        <f>Acc_Rec_Days</f>
        <v>30</v>
      </c>
      <c r="AJ165" s="320">
        <f>Acc_Rec_Days</f>
        <v>30</v>
      </c>
      <c r="AK165" s="320">
        <f>Acc_Rec_Days</f>
        <v>30</v>
      </c>
      <c r="AL165" s="320">
        <f>Acc_Rec_Days</f>
        <v>30</v>
      </c>
      <c r="AM165" s="320">
        <f>Acc_Rec_Days</f>
        <v>30</v>
      </c>
      <c r="AN165" s="320">
        <f>Acc_Rec_Days</f>
        <v>30</v>
      </c>
      <c r="AO165" s="320">
        <f>Acc_Rec_Days</f>
        <v>30</v>
      </c>
      <c r="AP165" s="320">
        <f>Acc_Rec_Days</f>
        <v>30</v>
      </c>
      <c r="AQ165" s="320">
        <f>Acc_Rec_Days</f>
        <v>30</v>
      </c>
      <c r="AR165" s="320">
        <f>Acc_Rec_Days</f>
        <v>30</v>
      </c>
      <c r="AS165" s="320">
        <f>Acc_Rec_Days</f>
        <v>30</v>
      </c>
      <c r="AT165" s="320">
        <f>Acc_Rec_Days</f>
        <v>30</v>
      </c>
      <c r="AU165" s="320">
        <f>Acc_Rec_Days</f>
        <v>30</v>
      </c>
      <c r="AV165" s="320">
        <f>Acc_Rec_Days</f>
        <v>30</v>
      </c>
      <c r="AW165" s="320">
        <f>Acc_Rec_Days</f>
        <v>30</v>
      </c>
      <c r="AX165" s="320">
        <f>Acc_Rec_Days</f>
        <v>30</v>
      </c>
      <c r="AY165" s="320">
        <f>Acc_Rec_Days</f>
        <v>30</v>
      </c>
      <c r="AZ165" s="320">
        <f>Acc_Rec_Days</f>
        <v>30</v>
      </c>
      <c r="BA165" s="320">
        <f>Acc_Rec_Days</f>
        <v>30</v>
      </c>
      <c r="BB165" s="320">
        <f>Acc_Rec_Days</f>
        <v>30</v>
      </c>
      <c r="BC165" s="320">
        <f>Acc_Rec_Days</f>
        <v>30</v>
      </c>
      <c r="BD165" s="320">
        <f>Acc_Rec_Days</f>
        <v>30</v>
      </c>
      <c r="BE165" s="320">
        <f>Acc_Rec_Days</f>
        <v>30</v>
      </c>
      <c r="BF165" s="320">
        <f>Acc_Rec_Days</f>
        <v>30</v>
      </c>
      <c r="BG165" s="320">
        <f>Acc_Rec_Days</f>
        <v>30</v>
      </c>
      <c r="BH165" s="320">
        <f>Acc_Rec_Days</f>
        <v>30</v>
      </c>
      <c r="BI165" s="320">
        <f>Acc_Rec_Days</f>
        <v>30</v>
      </c>
      <c r="BJ165" s="320">
        <f>Acc_Rec_Days</f>
        <v>30</v>
      </c>
      <c r="BK165" s="320">
        <f>Acc_Rec_Days</f>
        <v>30</v>
      </c>
      <c r="BL165" s="320">
        <f>Acc_Rec_Days</f>
        <v>30</v>
      </c>
      <c r="BM165" s="320">
        <f>Acc_Rec_Days</f>
        <v>30</v>
      </c>
      <c r="BN165" s="320">
        <f>Acc_Rec_Days</f>
        <v>30</v>
      </c>
      <c r="BO165" s="320">
        <f>Acc_Rec_Days</f>
        <v>30</v>
      </c>
      <c r="BP165" s="320">
        <f>Acc_Rec_Days</f>
        <v>30</v>
      </c>
      <c r="BQ165" s="320">
        <f>Acc_Rec_Days</f>
        <v>30</v>
      </c>
      <c r="BR165" s="320">
        <f>Acc_Rec_Days</f>
        <v>30</v>
      </c>
      <c r="BS165" s="321"/>
    </row>
    <row r="166" ht="15.75" customHeight="1">
      <c r="A166" s="80"/>
      <c r="B166" s="298" t="s">
        <v>137</v>
      </c>
      <c r="C166" s="131"/>
      <c r="D166" s="102"/>
      <c r="E166" s="132">
        <f t="shared" ref="E166:I166" si="155">INDEX($K166:$BR166,,MATCH(E$1,$K$2:$BR$2,0)+11)</f>
        <v>32582.96237</v>
      </c>
      <c r="F166" s="132">
        <f t="shared" si="155"/>
        <v>45337.89104</v>
      </c>
      <c r="G166" s="132">
        <f t="shared" si="155"/>
        <v>50085.36068</v>
      </c>
      <c r="H166" s="132">
        <f t="shared" si="155"/>
        <v>54242.42092</v>
      </c>
      <c r="I166" s="132">
        <f t="shared" si="155"/>
        <v>58744.5151</v>
      </c>
      <c r="J166" s="92"/>
      <c r="K166" s="132">
        <f t="shared" ref="K166:BR166" si="156">K164/DAY(EOMONTH(K6,0))*K165</f>
        <v>12749.85484</v>
      </c>
      <c r="L166" s="132">
        <f t="shared" si="156"/>
        <v>16590.55185</v>
      </c>
      <c r="M166" s="132">
        <f t="shared" si="156"/>
        <v>17708.13172</v>
      </c>
      <c r="N166" s="132">
        <f t="shared" si="156"/>
        <v>20006.2537</v>
      </c>
      <c r="O166" s="132">
        <f t="shared" si="156"/>
        <v>21013.64964</v>
      </c>
      <c r="P166" s="132">
        <f t="shared" si="156"/>
        <v>22666.4086</v>
      </c>
      <c r="Q166" s="132">
        <f t="shared" si="156"/>
        <v>26924.79266</v>
      </c>
      <c r="R166" s="132">
        <f t="shared" si="156"/>
        <v>25971.92652</v>
      </c>
      <c r="S166" s="132">
        <f t="shared" si="156"/>
        <v>28545.50833</v>
      </c>
      <c r="T166" s="132">
        <f t="shared" si="156"/>
        <v>29277.44444</v>
      </c>
      <c r="U166" s="132">
        <f t="shared" si="156"/>
        <v>31961.21019</v>
      </c>
      <c r="V166" s="132">
        <f t="shared" si="156"/>
        <v>32582.96237</v>
      </c>
      <c r="W166" s="132">
        <f t="shared" si="156"/>
        <v>34235.72133</v>
      </c>
      <c r="X166" s="132">
        <f t="shared" si="156"/>
        <v>37084.76296</v>
      </c>
      <c r="Y166" s="132">
        <f t="shared" si="156"/>
        <v>37541.23925</v>
      </c>
      <c r="Z166" s="132">
        <f t="shared" si="156"/>
        <v>40500.46481</v>
      </c>
      <c r="AA166" s="132">
        <f t="shared" si="156"/>
        <v>40846.75717</v>
      </c>
      <c r="AB166" s="132">
        <f t="shared" si="156"/>
        <v>42499.51613</v>
      </c>
      <c r="AC166" s="132">
        <f t="shared" si="156"/>
        <v>47562.77693</v>
      </c>
      <c r="AD166" s="132">
        <f t="shared" si="156"/>
        <v>43425.32677</v>
      </c>
      <c r="AE166" s="132">
        <f t="shared" si="156"/>
        <v>45358.96007</v>
      </c>
      <c r="AF166" s="132">
        <f t="shared" si="156"/>
        <v>44371.30529</v>
      </c>
      <c r="AG166" s="132">
        <f t="shared" si="156"/>
        <v>46347.06092</v>
      </c>
      <c r="AH166" s="132">
        <f t="shared" si="156"/>
        <v>45337.89104</v>
      </c>
      <c r="AI166" s="132">
        <f t="shared" si="156"/>
        <v>45715.7068</v>
      </c>
      <c r="AJ166" s="132">
        <f t="shared" si="156"/>
        <v>47633.22672</v>
      </c>
      <c r="AK166" s="132">
        <f t="shared" si="156"/>
        <v>46480.80995</v>
      </c>
      <c r="AL166" s="132">
        <f t="shared" si="156"/>
        <v>48430.4217</v>
      </c>
      <c r="AM166" s="132">
        <f t="shared" si="156"/>
        <v>47258.71795</v>
      </c>
      <c r="AN166" s="132">
        <f t="shared" si="156"/>
        <v>47652.5406</v>
      </c>
      <c r="AO166" s="132">
        <f t="shared" si="156"/>
        <v>53197.82136</v>
      </c>
      <c r="AP166" s="132">
        <f t="shared" si="156"/>
        <v>48450.05881</v>
      </c>
      <c r="AQ166" s="132">
        <f t="shared" si="156"/>
        <v>50482.26961</v>
      </c>
      <c r="AR166" s="132">
        <f t="shared" si="156"/>
        <v>49260.92438</v>
      </c>
      <c r="AS166" s="132">
        <f t="shared" si="156"/>
        <v>51327.14648</v>
      </c>
      <c r="AT166" s="132">
        <f t="shared" si="156"/>
        <v>50085.36068</v>
      </c>
      <c r="AU166" s="132">
        <f t="shared" si="156"/>
        <v>50419.26309</v>
      </c>
      <c r="AV166" s="132">
        <f t="shared" si="156"/>
        <v>52447.23789</v>
      </c>
      <c r="AW166" s="132">
        <f t="shared" si="156"/>
        <v>51093.76078</v>
      </c>
      <c r="AX166" s="132">
        <f t="shared" si="156"/>
        <v>53148.86539</v>
      </c>
      <c r="AY166" s="132">
        <f t="shared" si="156"/>
        <v>51777.28176</v>
      </c>
      <c r="AZ166" s="132">
        <f t="shared" si="156"/>
        <v>52122.46364</v>
      </c>
      <c r="BA166" s="132">
        <f t="shared" si="156"/>
        <v>56088.56375</v>
      </c>
      <c r="BB166" s="132">
        <f t="shared" si="156"/>
        <v>52819.74638</v>
      </c>
      <c r="BC166" s="132">
        <f t="shared" si="156"/>
        <v>54944.27395</v>
      </c>
      <c r="BD166" s="132">
        <f t="shared" si="156"/>
        <v>53526.35721</v>
      </c>
      <c r="BE166" s="132">
        <f t="shared" si="156"/>
        <v>55679.30624</v>
      </c>
      <c r="BF166" s="132">
        <f t="shared" si="156"/>
        <v>54242.42092</v>
      </c>
      <c r="BG166" s="132">
        <f t="shared" si="156"/>
        <v>54604.03706</v>
      </c>
      <c r="BH166" s="132">
        <f t="shared" si="156"/>
        <v>56800.33277</v>
      </c>
      <c r="BI166" s="132">
        <f t="shared" si="156"/>
        <v>55334.51773</v>
      </c>
      <c r="BJ166" s="132">
        <f t="shared" si="156"/>
        <v>57560.195</v>
      </c>
      <c r="BK166" s="132">
        <f t="shared" si="156"/>
        <v>56074.77061</v>
      </c>
      <c r="BL166" s="132">
        <f t="shared" si="156"/>
        <v>56448.60242</v>
      </c>
      <c r="BM166" s="132">
        <f t="shared" si="156"/>
        <v>62913.31141</v>
      </c>
      <c r="BN166" s="132">
        <f t="shared" si="156"/>
        <v>57203.75928</v>
      </c>
      <c r="BO166" s="132">
        <f t="shared" si="156"/>
        <v>59504.62159</v>
      </c>
      <c r="BP166" s="132">
        <f t="shared" si="156"/>
        <v>57969.01846</v>
      </c>
      <c r="BQ166" s="132">
        <f t="shared" si="156"/>
        <v>60300.6612</v>
      </c>
      <c r="BR166" s="132">
        <f t="shared" si="156"/>
        <v>58744.5151</v>
      </c>
      <c r="BS166" s="75"/>
    </row>
    <row r="167" ht="13.5" customHeight="1">
      <c r="A167" s="80"/>
      <c r="B167" s="92"/>
      <c r="C167" s="92"/>
      <c r="D167" s="92"/>
      <c r="E167" s="119"/>
      <c r="F167" s="119"/>
      <c r="G167" s="119"/>
      <c r="H167" s="119"/>
      <c r="I167" s="119"/>
      <c r="J167" s="119"/>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119"/>
    </row>
    <row r="168" ht="13.5" customHeight="1">
      <c r="A168" s="80"/>
      <c r="B168" s="319" t="s">
        <v>354</v>
      </c>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row>
    <row r="169" ht="13.5" customHeight="1">
      <c r="A169" s="80"/>
      <c r="B169" s="81" t="s">
        <v>156</v>
      </c>
      <c r="C169" s="92"/>
      <c r="D169" s="82"/>
      <c r="E169" s="123">
        <f t="shared" ref="E169:I169" si="157">SUMIFS($K169:$BR169,$K$2:$BR$2,E$1)</f>
        <v>92672.87081</v>
      </c>
      <c r="F169" s="123">
        <f t="shared" si="157"/>
        <v>163695.8473</v>
      </c>
      <c r="G169" s="123">
        <f t="shared" si="157"/>
        <v>189949.4254</v>
      </c>
      <c r="H169" s="123">
        <f t="shared" si="157"/>
        <v>207564.7889</v>
      </c>
      <c r="I169" s="123">
        <f t="shared" si="157"/>
        <v>224792.564</v>
      </c>
      <c r="J169" s="119"/>
      <c r="K169" s="123">
        <f t="shared" ref="K169:BR169" si="158">-K$35</f>
        <v>4215.952</v>
      </c>
      <c r="L169" s="123">
        <f t="shared" si="158"/>
        <v>5308.976593</v>
      </c>
      <c r="M169" s="123">
        <f t="shared" si="158"/>
        <v>5855.488889</v>
      </c>
      <c r="N169" s="123">
        <f t="shared" si="158"/>
        <v>6402.001185</v>
      </c>
      <c r="O169" s="123">
        <f t="shared" si="158"/>
        <v>6948.513481</v>
      </c>
      <c r="P169" s="123">
        <f t="shared" si="158"/>
        <v>7495.025778</v>
      </c>
      <c r="Q169" s="123">
        <f t="shared" si="158"/>
        <v>8041.538074</v>
      </c>
      <c r="R169" s="123">
        <f t="shared" si="158"/>
        <v>8588.05037</v>
      </c>
      <c r="S169" s="123">
        <f t="shared" si="158"/>
        <v>9134.562667</v>
      </c>
      <c r="T169" s="123">
        <f t="shared" si="158"/>
        <v>9681.074963</v>
      </c>
      <c r="U169" s="123">
        <f t="shared" si="158"/>
        <v>10227.58726</v>
      </c>
      <c r="V169" s="123">
        <f t="shared" si="158"/>
        <v>10774.09956</v>
      </c>
      <c r="W169" s="123">
        <f t="shared" si="158"/>
        <v>11320.61185</v>
      </c>
      <c r="X169" s="123">
        <f t="shared" si="158"/>
        <v>11867.12415</v>
      </c>
      <c r="Y169" s="123">
        <f t="shared" si="158"/>
        <v>12413.63644</v>
      </c>
      <c r="Z169" s="123">
        <f t="shared" si="158"/>
        <v>12960.14874</v>
      </c>
      <c r="AA169" s="123">
        <f t="shared" si="158"/>
        <v>13506.66104</v>
      </c>
      <c r="AB169" s="123">
        <f t="shared" si="158"/>
        <v>14053.17333</v>
      </c>
      <c r="AC169" s="123">
        <f t="shared" si="158"/>
        <v>14205.41604</v>
      </c>
      <c r="AD169" s="123">
        <f t="shared" si="158"/>
        <v>14359.30805</v>
      </c>
      <c r="AE169" s="123">
        <f t="shared" si="158"/>
        <v>14514.86722</v>
      </c>
      <c r="AF169" s="123">
        <f t="shared" si="158"/>
        <v>14672.11162</v>
      </c>
      <c r="AG169" s="123">
        <f t="shared" si="158"/>
        <v>14831.05949</v>
      </c>
      <c r="AH169" s="123">
        <f t="shared" si="158"/>
        <v>14991.7293</v>
      </c>
      <c r="AI169" s="123">
        <f t="shared" si="158"/>
        <v>15116.66038</v>
      </c>
      <c r="AJ169" s="123">
        <f t="shared" si="158"/>
        <v>15242.63255</v>
      </c>
      <c r="AK169" s="123">
        <f t="shared" si="158"/>
        <v>15369.65449</v>
      </c>
      <c r="AL169" s="123">
        <f t="shared" si="158"/>
        <v>15497.73494</v>
      </c>
      <c r="AM169" s="123">
        <f t="shared" si="158"/>
        <v>15626.88273</v>
      </c>
      <c r="AN169" s="123">
        <f t="shared" si="158"/>
        <v>15757.10676</v>
      </c>
      <c r="AO169" s="123">
        <f t="shared" si="158"/>
        <v>15888.41598</v>
      </c>
      <c r="AP169" s="123">
        <f t="shared" si="158"/>
        <v>16020.81945</v>
      </c>
      <c r="AQ169" s="123">
        <f t="shared" si="158"/>
        <v>16154.32628</v>
      </c>
      <c r="AR169" s="123">
        <f t="shared" si="158"/>
        <v>16288.94566</v>
      </c>
      <c r="AS169" s="123">
        <f t="shared" si="158"/>
        <v>16424.68688</v>
      </c>
      <c r="AT169" s="123">
        <f t="shared" si="158"/>
        <v>16561.55927</v>
      </c>
      <c r="AU169" s="123">
        <f t="shared" si="158"/>
        <v>16671.96966</v>
      </c>
      <c r="AV169" s="123">
        <f t="shared" si="158"/>
        <v>16783.11613</v>
      </c>
      <c r="AW169" s="123">
        <f t="shared" si="158"/>
        <v>16895.00357</v>
      </c>
      <c r="AX169" s="123">
        <f t="shared" si="158"/>
        <v>17007.63692</v>
      </c>
      <c r="AY169" s="123">
        <f t="shared" si="158"/>
        <v>17121.02117</v>
      </c>
      <c r="AZ169" s="123">
        <f t="shared" si="158"/>
        <v>17235.16131</v>
      </c>
      <c r="BA169" s="123">
        <f t="shared" si="158"/>
        <v>17350.06239</v>
      </c>
      <c r="BB169" s="123">
        <f t="shared" si="158"/>
        <v>17465.72947</v>
      </c>
      <c r="BC169" s="123">
        <f t="shared" si="158"/>
        <v>17582.16766</v>
      </c>
      <c r="BD169" s="123">
        <f t="shared" si="158"/>
        <v>17699.38212</v>
      </c>
      <c r="BE169" s="123">
        <f t="shared" si="158"/>
        <v>17817.378</v>
      </c>
      <c r="BF169" s="123">
        <f t="shared" si="158"/>
        <v>17936.16052</v>
      </c>
      <c r="BG169" s="123">
        <f t="shared" si="158"/>
        <v>18055.73492</v>
      </c>
      <c r="BH169" s="123">
        <f t="shared" si="158"/>
        <v>18176.10649</v>
      </c>
      <c r="BI169" s="123">
        <f t="shared" si="158"/>
        <v>18297.28053</v>
      </c>
      <c r="BJ169" s="123">
        <f t="shared" si="158"/>
        <v>18419.2624</v>
      </c>
      <c r="BK169" s="123">
        <f t="shared" si="158"/>
        <v>18542.05748</v>
      </c>
      <c r="BL169" s="123">
        <f t="shared" si="158"/>
        <v>18665.6712</v>
      </c>
      <c r="BM169" s="123">
        <f t="shared" si="158"/>
        <v>18790.10901</v>
      </c>
      <c r="BN169" s="123">
        <f t="shared" si="158"/>
        <v>18915.3764</v>
      </c>
      <c r="BO169" s="123">
        <f t="shared" si="158"/>
        <v>19041.47891</v>
      </c>
      <c r="BP169" s="123">
        <f t="shared" si="158"/>
        <v>19168.4221</v>
      </c>
      <c r="BQ169" s="123">
        <f t="shared" si="158"/>
        <v>19296.21158</v>
      </c>
      <c r="BR169" s="123">
        <f t="shared" si="158"/>
        <v>19424.85299</v>
      </c>
      <c r="BS169" s="119"/>
    </row>
    <row r="170" ht="13.5" customHeight="1">
      <c r="A170" s="91"/>
      <c r="B170" s="283" t="s">
        <v>355</v>
      </c>
      <c r="C170" s="289"/>
      <c r="D170" s="284"/>
      <c r="E170" s="320">
        <f>Acc_Pay_Days_Mat</f>
        <v>60</v>
      </c>
      <c r="F170" s="320">
        <f>Acc_Pay_Days_Mat</f>
        <v>60</v>
      </c>
      <c r="G170" s="320">
        <f>Acc_Pay_Days_Mat</f>
        <v>60</v>
      </c>
      <c r="H170" s="320">
        <f>Acc_Pay_Days_Mat</f>
        <v>60</v>
      </c>
      <c r="I170" s="320">
        <f>Acc_Pay_Days_Mat</f>
        <v>60</v>
      </c>
      <c r="J170" s="321"/>
      <c r="K170" s="320">
        <f>Acc_Pay_Days_Mat</f>
        <v>60</v>
      </c>
      <c r="L170" s="320">
        <f>Acc_Pay_Days_Mat</f>
        <v>60</v>
      </c>
      <c r="M170" s="320">
        <f>Acc_Pay_Days_Mat</f>
        <v>60</v>
      </c>
      <c r="N170" s="320">
        <f>Acc_Pay_Days_Mat</f>
        <v>60</v>
      </c>
      <c r="O170" s="320">
        <f>Acc_Pay_Days_Mat</f>
        <v>60</v>
      </c>
      <c r="P170" s="320">
        <f>Acc_Pay_Days_Mat</f>
        <v>60</v>
      </c>
      <c r="Q170" s="320">
        <f>Acc_Pay_Days_Mat</f>
        <v>60</v>
      </c>
      <c r="R170" s="320">
        <f>Acc_Pay_Days_Mat</f>
        <v>60</v>
      </c>
      <c r="S170" s="320">
        <f>Acc_Pay_Days_Mat</f>
        <v>60</v>
      </c>
      <c r="T170" s="320">
        <f>Acc_Pay_Days_Mat</f>
        <v>60</v>
      </c>
      <c r="U170" s="320">
        <f>Acc_Pay_Days_Mat</f>
        <v>60</v>
      </c>
      <c r="V170" s="320">
        <f>Acc_Pay_Days_Mat</f>
        <v>60</v>
      </c>
      <c r="W170" s="320">
        <f>Acc_Pay_Days_Mat</f>
        <v>60</v>
      </c>
      <c r="X170" s="320">
        <f>Acc_Pay_Days_Mat</f>
        <v>60</v>
      </c>
      <c r="Y170" s="320">
        <f>Acc_Pay_Days_Mat</f>
        <v>60</v>
      </c>
      <c r="Z170" s="320">
        <f>Acc_Pay_Days_Mat</f>
        <v>60</v>
      </c>
      <c r="AA170" s="320">
        <f>Acc_Pay_Days_Mat</f>
        <v>60</v>
      </c>
      <c r="AB170" s="320">
        <f>Acc_Pay_Days_Mat</f>
        <v>60</v>
      </c>
      <c r="AC170" s="320">
        <f>Acc_Pay_Days_Mat</f>
        <v>60</v>
      </c>
      <c r="AD170" s="320">
        <f>Acc_Pay_Days_Mat</f>
        <v>60</v>
      </c>
      <c r="AE170" s="320">
        <f>Acc_Pay_Days_Mat</f>
        <v>60</v>
      </c>
      <c r="AF170" s="320">
        <f>Acc_Pay_Days_Mat</f>
        <v>60</v>
      </c>
      <c r="AG170" s="320">
        <f>Acc_Pay_Days_Mat</f>
        <v>60</v>
      </c>
      <c r="AH170" s="320">
        <f>Acc_Pay_Days_Mat</f>
        <v>60</v>
      </c>
      <c r="AI170" s="320">
        <f>Acc_Pay_Days_Mat</f>
        <v>60</v>
      </c>
      <c r="AJ170" s="320">
        <f>Acc_Pay_Days_Mat</f>
        <v>60</v>
      </c>
      <c r="AK170" s="320">
        <f>Acc_Pay_Days_Mat</f>
        <v>60</v>
      </c>
      <c r="AL170" s="320">
        <f>Acc_Pay_Days_Mat</f>
        <v>60</v>
      </c>
      <c r="AM170" s="320">
        <f>Acc_Pay_Days_Mat</f>
        <v>60</v>
      </c>
      <c r="AN170" s="320">
        <f>Acc_Pay_Days_Mat</f>
        <v>60</v>
      </c>
      <c r="AO170" s="320">
        <f>Acc_Pay_Days_Mat</f>
        <v>60</v>
      </c>
      <c r="AP170" s="320">
        <f>Acc_Pay_Days_Mat</f>
        <v>60</v>
      </c>
      <c r="AQ170" s="320">
        <f>Acc_Pay_Days_Mat</f>
        <v>60</v>
      </c>
      <c r="AR170" s="320">
        <f>Acc_Pay_Days_Mat</f>
        <v>60</v>
      </c>
      <c r="AS170" s="320">
        <f>Acc_Pay_Days_Mat</f>
        <v>60</v>
      </c>
      <c r="AT170" s="320">
        <f>Acc_Pay_Days_Mat</f>
        <v>60</v>
      </c>
      <c r="AU170" s="320">
        <f>Acc_Pay_Days_Mat</f>
        <v>60</v>
      </c>
      <c r="AV170" s="320">
        <f>Acc_Pay_Days_Mat</f>
        <v>60</v>
      </c>
      <c r="AW170" s="320">
        <f>Acc_Pay_Days_Mat</f>
        <v>60</v>
      </c>
      <c r="AX170" s="320">
        <f>Acc_Pay_Days_Mat</f>
        <v>60</v>
      </c>
      <c r="AY170" s="320">
        <f>Acc_Pay_Days_Mat</f>
        <v>60</v>
      </c>
      <c r="AZ170" s="320">
        <f>Acc_Pay_Days_Mat</f>
        <v>60</v>
      </c>
      <c r="BA170" s="320">
        <f>Acc_Pay_Days_Mat</f>
        <v>60</v>
      </c>
      <c r="BB170" s="320">
        <f>Acc_Pay_Days_Mat</f>
        <v>60</v>
      </c>
      <c r="BC170" s="320">
        <f>Acc_Pay_Days_Mat</f>
        <v>60</v>
      </c>
      <c r="BD170" s="320">
        <f>Acc_Pay_Days_Mat</f>
        <v>60</v>
      </c>
      <c r="BE170" s="320">
        <f>Acc_Pay_Days_Mat</f>
        <v>60</v>
      </c>
      <c r="BF170" s="320">
        <f>Acc_Pay_Days_Mat</f>
        <v>60</v>
      </c>
      <c r="BG170" s="320">
        <f>Acc_Pay_Days_Mat</f>
        <v>60</v>
      </c>
      <c r="BH170" s="320">
        <f>Acc_Pay_Days_Mat</f>
        <v>60</v>
      </c>
      <c r="BI170" s="320">
        <f>Acc_Pay_Days_Mat</f>
        <v>60</v>
      </c>
      <c r="BJ170" s="320">
        <f>Acc_Pay_Days_Mat</f>
        <v>60</v>
      </c>
      <c r="BK170" s="320">
        <f>Acc_Pay_Days_Mat</f>
        <v>60</v>
      </c>
      <c r="BL170" s="320">
        <f>Acc_Pay_Days_Mat</f>
        <v>60</v>
      </c>
      <c r="BM170" s="320">
        <f>Acc_Pay_Days_Mat</f>
        <v>60</v>
      </c>
      <c r="BN170" s="320">
        <f>Acc_Pay_Days_Mat</f>
        <v>60</v>
      </c>
      <c r="BO170" s="320">
        <f>Acc_Pay_Days_Mat</f>
        <v>60</v>
      </c>
      <c r="BP170" s="320">
        <f>Acc_Pay_Days_Mat</f>
        <v>60</v>
      </c>
      <c r="BQ170" s="320">
        <f>Acc_Pay_Days_Mat</f>
        <v>60</v>
      </c>
      <c r="BR170" s="320">
        <f>Acc_Pay_Days_Mat</f>
        <v>60</v>
      </c>
      <c r="BS170" s="321"/>
    </row>
    <row r="171" ht="13.5" customHeight="1">
      <c r="A171" s="80"/>
      <c r="B171" s="81"/>
      <c r="C171" s="92"/>
      <c r="D171" s="82"/>
      <c r="E171" s="123"/>
      <c r="F171" s="123"/>
      <c r="G171" s="123"/>
      <c r="H171" s="123"/>
      <c r="I171" s="123"/>
      <c r="J171" s="119"/>
      <c r="K171" s="123"/>
      <c r="L171" s="123"/>
      <c r="M171" s="123"/>
      <c r="N171" s="123"/>
      <c r="O171" s="123"/>
      <c r="P171" s="123"/>
      <c r="Q171" s="123"/>
      <c r="R171" s="123"/>
      <c r="S171" s="123"/>
      <c r="T171" s="123"/>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3"/>
      <c r="BQ171" s="123"/>
      <c r="BR171" s="123"/>
      <c r="BS171" s="119"/>
    </row>
    <row r="172" ht="13.5" customHeight="1">
      <c r="A172" s="80"/>
      <c r="B172" s="81" t="str">
        <f>B32</f>
        <v>Ad Fund / Brand Fund</v>
      </c>
      <c r="C172" s="92"/>
      <c r="D172" s="82"/>
      <c r="E172" s="123">
        <f t="shared" ref="E172:I172" si="159">SUMIFS($K172:$BR172,$K$2:$BR$2,E$1)</f>
        <v>0</v>
      </c>
      <c r="F172" s="123">
        <f t="shared" si="159"/>
        <v>0</v>
      </c>
      <c r="G172" s="123">
        <f t="shared" si="159"/>
        <v>0</v>
      </c>
      <c r="H172" s="123">
        <f t="shared" si="159"/>
        <v>0</v>
      </c>
      <c r="I172" s="123">
        <f t="shared" si="159"/>
        <v>0</v>
      </c>
      <c r="J172" s="119"/>
      <c r="K172" s="123">
        <f t="shared" ref="K172:BR172" si="160">-K$32</f>
        <v>0</v>
      </c>
      <c r="L172" s="123">
        <f t="shared" si="160"/>
        <v>0</v>
      </c>
      <c r="M172" s="123">
        <f t="shared" si="160"/>
        <v>0</v>
      </c>
      <c r="N172" s="123">
        <f t="shared" si="160"/>
        <v>0</v>
      </c>
      <c r="O172" s="123">
        <f t="shared" si="160"/>
        <v>0</v>
      </c>
      <c r="P172" s="123">
        <f t="shared" si="160"/>
        <v>0</v>
      </c>
      <c r="Q172" s="123">
        <f t="shared" si="160"/>
        <v>0</v>
      </c>
      <c r="R172" s="123">
        <f t="shared" si="160"/>
        <v>0</v>
      </c>
      <c r="S172" s="123">
        <f t="shared" si="160"/>
        <v>0</v>
      </c>
      <c r="T172" s="123">
        <f t="shared" si="160"/>
        <v>0</v>
      </c>
      <c r="U172" s="123">
        <f t="shared" si="160"/>
        <v>0</v>
      </c>
      <c r="V172" s="123">
        <f t="shared" si="160"/>
        <v>0</v>
      </c>
      <c r="W172" s="123">
        <f t="shared" si="160"/>
        <v>0</v>
      </c>
      <c r="X172" s="123">
        <f t="shared" si="160"/>
        <v>0</v>
      </c>
      <c r="Y172" s="123">
        <f t="shared" si="160"/>
        <v>0</v>
      </c>
      <c r="Z172" s="123">
        <f t="shared" si="160"/>
        <v>0</v>
      </c>
      <c r="AA172" s="123">
        <f t="shared" si="160"/>
        <v>0</v>
      </c>
      <c r="AB172" s="123">
        <f t="shared" si="160"/>
        <v>0</v>
      </c>
      <c r="AC172" s="123">
        <f t="shared" si="160"/>
        <v>0</v>
      </c>
      <c r="AD172" s="123">
        <f t="shared" si="160"/>
        <v>0</v>
      </c>
      <c r="AE172" s="123">
        <f t="shared" si="160"/>
        <v>0</v>
      </c>
      <c r="AF172" s="123">
        <f t="shared" si="160"/>
        <v>0</v>
      </c>
      <c r="AG172" s="123">
        <f t="shared" si="160"/>
        <v>0</v>
      </c>
      <c r="AH172" s="123">
        <f t="shared" si="160"/>
        <v>0</v>
      </c>
      <c r="AI172" s="123">
        <f t="shared" si="160"/>
        <v>0</v>
      </c>
      <c r="AJ172" s="123">
        <f t="shared" si="160"/>
        <v>0</v>
      </c>
      <c r="AK172" s="123">
        <f t="shared" si="160"/>
        <v>0</v>
      </c>
      <c r="AL172" s="123">
        <f t="shared" si="160"/>
        <v>0</v>
      </c>
      <c r="AM172" s="123">
        <f t="shared" si="160"/>
        <v>0</v>
      </c>
      <c r="AN172" s="123">
        <f t="shared" si="160"/>
        <v>0</v>
      </c>
      <c r="AO172" s="123">
        <f t="shared" si="160"/>
        <v>0</v>
      </c>
      <c r="AP172" s="123">
        <f t="shared" si="160"/>
        <v>0</v>
      </c>
      <c r="AQ172" s="123">
        <f t="shared" si="160"/>
        <v>0</v>
      </c>
      <c r="AR172" s="123">
        <f t="shared" si="160"/>
        <v>0</v>
      </c>
      <c r="AS172" s="123">
        <f t="shared" si="160"/>
        <v>0</v>
      </c>
      <c r="AT172" s="123">
        <f t="shared" si="160"/>
        <v>0</v>
      </c>
      <c r="AU172" s="123">
        <f t="shared" si="160"/>
        <v>0</v>
      </c>
      <c r="AV172" s="123">
        <f t="shared" si="160"/>
        <v>0</v>
      </c>
      <c r="AW172" s="123">
        <f t="shared" si="160"/>
        <v>0</v>
      </c>
      <c r="AX172" s="123">
        <f t="shared" si="160"/>
        <v>0</v>
      </c>
      <c r="AY172" s="123">
        <f t="shared" si="160"/>
        <v>0</v>
      </c>
      <c r="AZ172" s="123">
        <f t="shared" si="160"/>
        <v>0</v>
      </c>
      <c r="BA172" s="123">
        <f t="shared" si="160"/>
        <v>0</v>
      </c>
      <c r="BB172" s="123">
        <f t="shared" si="160"/>
        <v>0</v>
      </c>
      <c r="BC172" s="123">
        <f t="shared" si="160"/>
        <v>0</v>
      </c>
      <c r="BD172" s="123">
        <f t="shared" si="160"/>
        <v>0</v>
      </c>
      <c r="BE172" s="123">
        <f t="shared" si="160"/>
        <v>0</v>
      </c>
      <c r="BF172" s="123">
        <f t="shared" si="160"/>
        <v>0</v>
      </c>
      <c r="BG172" s="123">
        <f t="shared" si="160"/>
        <v>0</v>
      </c>
      <c r="BH172" s="123">
        <f t="shared" si="160"/>
        <v>0</v>
      </c>
      <c r="BI172" s="123">
        <f t="shared" si="160"/>
        <v>0</v>
      </c>
      <c r="BJ172" s="123">
        <f t="shared" si="160"/>
        <v>0</v>
      </c>
      <c r="BK172" s="123">
        <f t="shared" si="160"/>
        <v>0</v>
      </c>
      <c r="BL172" s="123">
        <f t="shared" si="160"/>
        <v>0</v>
      </c>
      <c r="BM172" s="123">
        <f t="shared" si="160"/>
        <v>0</v>
      </c>
      <c r="BN172" s="123">
        <f t="shared" si="160"/>
        <v>0</v>
      </c>
      <c r="BO172" s="123">
        <f t="shared" si="160"/>
        <v>0</v>
      </c>
      <c r="BP172" s="123">
        <f t="shared" si="160"/>
        <v>0</v>
      </c>
      <c r="BQ172" s="123">
        <f t="shared" si="160"/>
        <v>0</v>
      </c>
      <c r="BR172" s="123">
        <f t="shared" si="160"/>
        <v>0</v>
      </c>
      <c r="BS172" s="119"/>
    </row>
    <row r="173" ht="13.5" customHeight="1">
      <c r="A173" s="91"/>
      <c r="B173" s="283" t="s">
        <v>355</v>
      </c>
      <c r="C173" s="289"/>
      <c r="D173" s="284"/>
      <c r="E173" s="320">
        <f t="shared" ref="E173:I173" si="161">Acc_Pay_Days_Ad</f>
        <v>0</v>
      </c>
      <c r="F173" s="320">
        <f t="shared" si="161"/>
        <v>0</v>
      </c>
      <c r="G173" s="320">
        <f t="shared" si="161"/>
        <v>0</v>
      </c>
      <c r="H173" s="320">
        <f t="shared" si="161"/>
        <v>0</v>
      </c>
      <c r="I173" s="320">
        <f t="shared" si="161"/>
        <v>0</v>
      </c>
      <c r="J173" s="321"/>
      <c r="K173" s="320">
        <f t="shared" ref="K173:BR173" si="162">Acc_Pay_Days_Ad</f>
        <v>0</v>
      </c>
      <c r="L173" s="320">
        <f t="shared" si="162"/>
        <v>0</v>
      </c>
      <c r="M173" s="320">
        <f t="shared" si="162"/>
        <v>0</v>
      </c>
      <c r="N173" s="320">
        <f t="shared" si="162"/>
        <v>0</v>
      </c>
      <c r="O173" s="320">
        <f t="shared" si="162"/>
        <v>0</v>
      </c>
      <c r="P173" s="320">
        <f t="shared" si="162"/>
        <v>0</v>
      </c>
      <c r="Q173" s="320">
        <f t="shared" si="162"/>
        <v>0</v>
      </c>
      <c r="R173" s="320">
        <f t="shared" si="162"/>
        <v>0</v>
      </c>
      <c r="S173" s="320">
        <f t="shared" si="162"/>
        <v>0</v>
      </c>
      <c r="T173" s="320">
        <f t="shared" si="162"/>
        <v>0</v>
      </c>
      <c r="U173" s="320">
        <f t="shared" si="162"/>
        <v>0</v>
      </c>
      <c r="V173" s="320">
        <f t="shared" si="162"/>
        <v>0</v>
      </c>
      <c r="W173" s="320">
        <f t="shared" si="162"/>
        <v>0</v>
      </c>
      <c r="X173" s="320">
        <f t="shared" si="162"/>
        <v>0</v>
      </c>
      <c r="Y173" s="320">
        <f t="shared" si="162"/>
        <v>0</v>
      </c>
      <c r="Z173" s="320">
        <f t="shared" si="162"/>
        <v>0</v>
      </c>
      <c r="AA173" s="320">
        <f t="shared" si="162"/>
        <v>0</v>
      </c>
      <c r="AB173" s="320">
        <f t="shared" si="162"/>
        <v>0</v>
      </c>
      <c r="AC173" s="320">
        <f t="shared" si="162"/>
        <v>0</v>
      </c>
      <c r="AD173" s="320">
        <f t="shared" si="162"/>
        <v>0</v>
      </c>
      <c r="AE173" s="320">
        <f t="shared" si="162"/>
        <v>0</v>
      </c>
      <c r="AF173" s="320">
        <f t="shared" si="162"/>
        <v>0</v>
      </c>
      <c r="AG173" s="320">
        <f t="shared" si="162"/>
        <v>0</v>
      </c>
      <c r="AH173" s="320">
        <f t="shared" si="162"/>
        <v>0</v>
      </c>
      <c r="AI173" s="320">
        <f t="shared" si="162"/>
        <v>0</v>
      </c>
      <c r="AJ173" s="320">
        <f t="shared" si="162"/>
        <v>0</v>
      </c>
      <c r="AK173" s="320">
        <f t="shared" si="162"/>
        <v>0</v>
      </c>
      <c r="AL173" s="320">
        <f t="shared" si="162"/>
        <v>0</v>
      </c>
      <c r="AM173" s="320">
        <f t="shared" si="162"/>
        <v>0</v>
      </c>
      <c r="AN173" s="320">
        <f t="shared" si="162"/>
        <v>0</v>
      </c>
      <c r="AO173" s="320">
        <f t="shared" si="162"/>
        <v>0</v>
      </c>
      <c r="AP173" s="320">
        <f t="shared" si="162"/>
        <v>0</v>
      </c>
      <c r="AQ173" s="320">
        <f t="shared" si="162"/>
        <v>0</v>
      </c>
      <c r="AR173" s="320">
        <f t="shared" si="162"/>
        <v>0</v>
      </c>
      <c r="AS173" s="320">
        <f t="shared" si="162"/>
        <v>0</v>
      </c>
      <c r="AT173" s="320">
        <f t="shared" si="162"/>
        <v>0</v>
      </c>
      <c r="AU173" s="320">
        <f t="shared" si="162"/>
        <v>0</v>
      </c>
      <c r="AV173" s="320">
        <f t="shared" si="162"/>
        <v>0</v>
      </c>
      <c r="AW173" s="320">
        <f t="shared" si="162"/>
        <v>0</v>
      </c>
      <c r="AX173" s="320">
        <f t="shared" si="162"/>
        <v>0</v>
      </c>
      <c r="AY173" s="320">
        <f t="shared" si="162"/>
        <v>0</v>
      </c>
      <c r="AZ173" s="320">
        <f t="shared" si="162"/>
        <v>0</v>
      </c>
      <c r="BA173" s="320">
        <f t="shared" si="162"/>
        <v>0</v>
      </c>
      <c r="BB173" s="320">
        <f t="shared" si="162"/>
        <v>0</v>
      </c>
      <c r="BC173" s="320">
        <f t="shared" si="162"/>
        <v>0</v>
      </c>
      <c r="BD173" s="320">
        <f t="shared" si="162"/>
        <v>0</v>
      </c>
      <c r="BE173" s="320">
        <f t="shared" si="162"/>
        <v>0</v>
      </c>
      <c r="BF173" s="320">
        <f t="shared" si="162"/>
        <v>0</v>
      </c>
      <c r="BG173" s="320">
        <f t="shared" si="162"/>
        <v>0</v>
      </c>
      <c r="BH173" s="320">
        <f t="shared" si="162"/>
        <v>0</v>
      </c>
      <c r="BI173" s="320">
        <f t="shared" si="162"/>
        <v>0</v>
      </c>
      <c r="BJ173" s="320">
        <f t="shared" si="162"/>
        <v>0</v>
      </c>
      <c r="BK173" s="320">
        <f t="shared" si="162"/>
        <v>0</v>
      </c>
      <c r="BL173" s="320">
        <f t="shared" si="162"/>
        <v>0</v>
      </c>
      <c r="BM173" s="320">
        <f t="shared" si="162"/>
        <v>0</v>
      </c>
      <c r="BN173" s="320">
        <f t="shared" si="162"/>
        <v>0</v>
      </c>
      <c r="BO173" s="320">
        <f t="shared" si="162"/>
        <v>0</v>
      </c>
      <c r="BP173" s="320">
        <f t="shared" si="162"/>
        <v>0</v>
      </c>
      <c r="BQ173" s="320">
        <f t="shared" si="162"/>
        <v>0</v>
      </c>
      <c r="BR173" s="320">
        <f t="shared" si="162"/>
        <v>0</v>
      </c>
      <c r="BS173" s="321"/>
    </row>
    <row r="174" ht="13.5" customHeight="1">
      <c r="A174" s="80"/>
      <c r="B174" s="81"/>
      <c r="C174" s="92"/>
      <c r="D174" s="82"/>
      <c r="E174" s="123"/>
      <c r="F174" s="123"/>
      <c r="G174" s="123"/>
      <c r="H174" s="123"/>
      <c r="I174" s="123"/>
      <c r="J174" s="119"/>
      <c r="K174" s="123"/>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3"/>
      <c r="BQ174" s="123"/>
      <c r="BR174" s="123"/>
      <c r="BS174" s="119"/>
    </row>
    <row r="175" ht="13.5" customHeight="1">
      <c r="A175" s="80"/>
      <c r="B175" s="81" t="s">
        <v>157</v>
      </c>
      <c r="C175" s="92"/>
      <c r="D175" s="82"/>
      <c r="E175" s="123">
        <f t="shared" ref="E175:I175" si="163">SUMIFS($K175:$BR175,$K$2:$BR$2,E$1)</f>
        <v>20272.19049</v>
      </c>
      <c r="F175" s="123">
        <f t="shared" si="163"/>
        <v>35808.46659</v>
      </c>
      <c r="G175" s="123">
        <f t="shared" si="163"/>
        <v>41551.4368</v>
      </c>
      <c r="H175" s="123">
        <f t="shared" si="163"/>
        <v>45404.79757</v>
      </c>
      <c r="I175" s="123">
        <f t="shared" si="163"/>
        <v>49173.37338</v>
      </c>
      <c r="J175" s="119"/>
      <c r="K175" s="123">
        <f t="shared" ref="K175:BR175" si="164">-K$29</f>
        <v>922.2395</v>
      </c>
      <c r="L175" s="123">
        <f t="shared" si="164"/>
        <v>1161.33863</v>
      </c>
      <c r="M175" s="123">
        <f t="shared" si="164"/>
        <v>1280.888194</v>
      </c>
      <c r="N175" s="123">
        <f t="shared" si="164"/>
        <v>1400.437759</v>
      </c>
      <c r="O175" s="123">
        <f t="shared" si="164"/>
        <v>1519.987324</v>
      </c>
      <c r="P175" s="123">
        <f t="shared" si="164"/>
        <v>1639.536889</v>
      </c>
      <c r="Q175" s="123">
        <f t="shared" si="164"/>
        <v>1759.086454</v>
      </c>
      <c r="R175" s="123">
        <f t="shared" si="164"/>
        <v>1878.636019</v>
      </c>
      <c r="S175" s="123">
        <f t="shared" si="164"/>
        <v>1998.185583</v>
      </c>
      <c r="T175" s="123">
        <f t="shared" si="164"/>
        <v>2117.735148</v>
      </c>
      <c r="U175" s="123">
        <f t="shared" si="164"/>
        <v>2237.284713</v>
      </c>
      <c r="V175" s="123">
        <f t="shared" si="164"/>
        <v>2356.834278</v>
      </c>
      <c r="W175" s="123">
        <f t="shared" si="164"/>
        <v>2476.383843</v>
      </c>
      <c r="X175" s="123">
        <f t="shared" si="164"/>
        <v>2595.933407</v>
      </c>
      <c r="Y175" s="123">
        <f t="shared" si="164"/>
        <v>2715.482972</v>
      </c>
      <c r="Z175" s="123">
        <f t="shared" si="164"/>
        <v>2835.032537</v>
      </c>
      <c r="AA175" s="123">
        <f t="shared" si="164"/>
        <v>2954.582102</v>
      </c>
      <c r="AB175" s="123">
        <f t="shared" si="164"/>
        <v>3074.131667</v>
      </c>
      <c r="AC175" s="123">
        <f t="shared" si="164"/>
        <v>3107.43476</v>
      </c>
      <c r="AD175" s="123">
        <f t="shared" si="164"/>
        <v>3141.098636</v>
      </c>
      <c r="AE175" s="123">
        <f t="shared" si="164"/>
        <v>3175.127205</v>
      </c>
      <c r="AF175" s="123">
        <f t="shared" si="164"/>
        <v>3209.524416</v>
      </c>
      <c r="AG175" s="123">
        <f t="shared" si="164"/>
        <v>3244.294264</v>
      </c>
      <c r="AH175" s="123">
        <f t="shared" si="164"/>
        <v>3279.440785</v>
      </c>
      <c r="AI175" s="123">
        <f t="shared" si="164"/>
        <v>3306.769458</v>
      </c>
      <c r="AJ175" s="123">
        <f t="shared" si="164"/>
        <v>3334.325871</v>
      </c>
      <c r="AK175" s="123">
        <f t="shared" si="164"/>
        <v>3362.11192</v>
      </c>
      <c r="AL175" s="123">
        <f t="shared" si="164"/>
        <v>3390.129519</v>
      </c>
      <c r="AM175" s="123">
        <f t="shared" si="164"/>
        <v>3418.380598</v>
      </c>
      <c r="AN175" s="123">
        <f t="shared" si="164"/>
        <v>3446.867103</v>
      </c>
      <c r="AO175" s="123">
        <f t="shared" si="164"/>
        <v>3475.590996</v>
      </c>
      <c r="AP175" s="123">
        <f t="shared" si="164"/>
        <v>3504.554254</v>
      </c>
      <c r="AQ175" s="123">
        <f t="shared" si="164"/>
        <v>3533.758873</v>
      </c>
      <c r="AR175" s="123">
        <f t="shared" si="164"/>
        <v>3563.206863</v>
      </c>
      <c r="AS175" s="123">
        <f t="shared" si="164"/>
        <v>3592.900254</v>
      </c>
      <c r="AT175" s="123">
        <f t="shared" si="164"/>
        <v>3622.841089</v>
      </c>
      <c r="AU175" s="123">
        <f t="shared" si="164"/>
        <v>3646.993363</v>
      </c>
      <c r="AV175" s="123">
        <f t="shared" si="164"/>
        <v>3671.306652</v>
      </c>
      <c r="AW175" s="123">
        <f t="shared" si="164"/>
        <v>3695.78203</v>
      </c>
      <c r="AX175" s="123">
        <f t="shared" si="164"/>
        <v>3720.420577</v>
      </c>
      <c r="AY175" s="123">
        <f t="shared" si="164"/>
        <v>3745.223381</v>
      </c>
      <c r="AZ175" s="123">
        <f t="shared" si="164"/>
        <v>3770.191537</v>
      </c>
      <c r="BA175" s="123">
        <f t="shared" si="164"/>
        <v>3795.326147</v>
      </c>
      <c r="BB175" s="123">
        <f t="shared" si="164"/>
        <v>3820.628321</v>
      </c>
      <c r="BC175" s="123">
        <f t="shared" si="164"/>
        <v>3846.099177</v>
      </c>
      <c r="BD175" s="123">
        <f t="shared" si="164"/>
        <v>3871.739838</v>
      </c>
      <c r="BE175" s="123">
        <f t="shared" si="164"/>
        <v>3897.551437</v>
      </c>
      <c r="BF175" s="123">
        <f t="shared" si="164"/>
        <v>3923.535113</v>
      </c>
      <c r="BG175" s="123">
        <f t="shared" si="164"/>
        <v>3949.692014</v>
      </c>
      <c r="BH175" s="123">
        <f t="shared" si="164"/>
        <v>3976.023294</v>
      </c>
      <c r="BI175" s="123">
        <f t="shared" si="164"/>
        <v>4002.530116</v>
      </c>
      <c r="BJ175" s="123">
        <f t="shared" si="164"/>
        <v>4029.21365</v>
      </c>
      <c r="BK175" s="123">
        <f t="shared" si="164"/>
        <v>4056.075074</v>
      </c>
      <c r="BL175" s="123">
        <f t="shared" si="164"/>
        <v>4083.115575</v>
      </c>
      <c r="BM175" s="123">
        <f t="shared" si="164"/>
        <v>4110.336345</v>
      </c>
      <c r="BN175" s="123">
        <f t="shared" si="164"/>
        <v>4137.738588</v>
      </c>
      <c r="BO175" s="123">
        <f t="shared" si="164"/>
        <v>4165.323512</v>
      </c>
      <c r="BP175" s="123">
        <f t="shared" si="164"/>
        <v>4193.092335</v>
      </c>
      <c r="BQ175" s="123">
        <f t="shared" si="164"/>
        <v>4221.046284</v>
      </c>
      <c r="BR175" s="123">
        <f t="shared" si="164"/>
        <v>4249.186592</v>
      </c>
      <c r="BS175" s="119"/>
    </row>
    <row r="176" ht="13.5" customHeight="1">
      <c r="A176" s="91"/>
      <c r="B176" s="283" t="s">
        <v>355</v>
      </c>
      <c r="C176" s="289"/>
      <c r="D176" s="284"/>
      <c r="E176" s="320">
        <f t="shared" ref="E176:I176" si="165">Accounts_Payable_Days_Royalties</f>
        <v>0</v>
      </c>
      <c r="F176" s="320">
        <f t="shared" si="165"/>
        <v>0</v>
      </c>
      <c r="G176" s="320">
        <f t="shared" si="165"/>
        <v>0</v>
      </c>
      <c r="H176" s="320">
        <f t="shared" si="165"/>
        <v>0</v>
      </c>
      <c r="I176" s="320">
        <f t="shared" si="165"/>
        <v>0</v>
      </c>
      <c r="J176" s="321"/>
      <c r="K176" s="320">
        <f t="shared" ref="K176:BR176" si="166">Accounts_Payable_Days_Royalties</f>
        <v>0</v>
      </c>
      <c r="L176" s="320">
        <f t="shared" si="166"/>
        <v>0</v>
      </c>
      <c r="M176" s="320">
        <f t="shared" si="166"/>
        <v>0</v>
      </c>
      <c r="N176" s="320">
        <f t="shared" si="166"/>
        <v>0</v>
      </c>
      <c r="O176" s="320">
        <f t="shared" si="166"/>
        <v>0</v>
      </c>
      <c r="P176" s="320">
        <f t="shared" si="166"/>
        <v>0</v>
      </c>
      <c r="Q176" s="320">
        <f t="shared" si="166"/>
        <v>0</v>
      </c>
      <c r="R176" s="320">
        <f t="shared" si="166"/>
        <v>0</v>
      </c>
      <c r="S176" s="320">
        <f t="shared" si="166"/>
        <v>0</v>
      </c>
      <c r="T176" s="320">
        <f t="shared" si="166"/>
        <v>0</v>
      </c>
      <c r="U176" s="320">
        <f t="shared" si="166"/>
        <v>0</v>
      </c>
      <c r="V176" s="320">
        <f t="shared" si="166"/>
        <v>0</v>
      </c>
      <c r="W176" s="320">
        <f t="shared" si="166"/>
        <v>0</v>
      </c>
      <c r="X176" s="320">
        <f t="shared" si="166"/>
        <v>0</v>
      </c>
      <c r="Y176" s="320">
        <f t="shared" si="166"/>
        <v>0</v>
      </c>
      <c r="Z176" s="320">
        <f t="shared" si="166"/>
        <v>0</v>
      </c>
      <c r="AA176" s="320">
        <f t="shared" si="166"/>
        <v>0</v>
      </c>
      <c r="AB176" s="320">
        <f t="shared" si="166"/>
        <v>0</v>
      </c>
      <c r="AC176" s="320">
        <f t="shared" si="166"/>
        <v>0</v>
      </c>
      <c r="AD176" s="320">
        <f t="shared" si="166"/>
        <v>0</v>
      </c>
      <c r="AE176" s="320">
        <f t="shared" si="166"/>
        <v>0</v>
      </c>
      <c r="AF176" s="320">
        <f t="shared" si="166"/>
        <v>0</v>
      </c>
      <c r="AG176" s="320">
        <f t="shared" si="166"/>
        <v>0</v>
      </c>
      <c r="AH176" s="320">
        <f t="shared" si="166"/>
        <v>0</v>
      </c>
      <c r="AI176" s="320">
        <f t="shared" si="166"/>
        <v>0</v>
      </c>
      <c r="AJ176" s="320">
        <f t="shared" si="166"/>
        <v>0</v>
      </c>
      <c r="AK176" s="320">
        <f t="shared" si="166"/>
        <v>0</v>
      </c>
      <c r="AL176" s="320">
        <f t="shared" si="166"/>
        <v>0</v>
      </c>
      <c r="AM176" s="320">
        <f t="shared" si="166"/>
        <v>0</v>
      </c>
      <c r="AN176" s="320">
        <f t="shared" si="166"/>
        <v>0</v>
      </c>
      <c r="AO176" s="320">
        <f t="shared" si="166"/>
        <v>0</v>
      </c>
      <c r="AP176" s="320">
        <f t="shared" si="166"/>
        <v>0</v>
      </c>
      <c r="AQ176" s="320">
        <f t="shared" si="166"/>
        <v>0</v>
      </c>
      <c r="AR176" s="320">
        <f t="shared" si="166"/>
        <v>0</v>
      </c>
      <c r="AS176" s="320">
        <f t="shared" si="166"/>
        <v>0</v>
      </c>
      <c r="AT176" s="320">
        <f t="shared" si="166"/>
        <v>0</v>
      </c>
      <c r="AU176" s="320">
        <f t="shared" si="166"/>
        <v>0</v>
      </c>
      <c r="AV176" s="320">
        <f t="shared" si="166"/>
        <v>0</v>
      </c>
      <c r="AW176" s="320">
        <f t="shared" si="166"/>
        <v>0</v>
      </c>
      <c r="AX176" s="320">
        <f t="shared" si="166"/>
        <v>0</v>
      </c>
      <c r="AY176" s="320">
        <f t="shared" si="166"/>
        <v>0</v>
      </c>
      <c r="AZ176" s="320">
        <f t="shared" si="166"/>
        <v>0</v>
      </c>
      <c r="BA176" s="320">
        <f t="shared" si="166"/>
        <v>0</v>
      </c>
      <c r="BB176" s="320">
        <f t="shared" si="166"/>
        <v>0</v>
      </c>
      <c r="BC176" s="320">
        <f t="shared" si="166"/>
        <v>0</v>
      </c>
      <c r="BD176" s="320">
        <f t="shared" si="166"/>
        <v>0</v>
      </c>
      <c r="BE176" s="320">
        <f t="shared" si="166"/>
        <v>0</v>
      </c>
      <c r="BF176" s="320">
        <f t="shared" si="166"/>
        <v>0</v>
      </c>
      <c r="BG176" s="320">
        <f t="shared" si="166"/>
        <v>0</v>
      </c>
      <c r="BH176" s="320">
        <f t="shared" si="166"/>
        <v>0</v>
      </c>
      <c r="BI176" s="320">
        <f t="shared" si="166"/>
        <v>0</v>
      </c>
      <c r="BJ176" s="320">
        <f t="shared" si="166"/>
        <v>0</v>
      </c>
      <c r="BK176" s="320">
        <f t="shared" si="166"/>
        <v>0</v>
      </c>
      <c r="BL176" s="320">
        <f t="shared" si="166"/>
        <v>0</v>
      </c>
      <c r="BM176" s="320">
        <f t="shared" si="166"/>
        <v>0</v>
      </c>
      <c r="BN176" s="320">
        <f t="shared" si="166"/>
        <v>0</v>
      </c>
      <c r="BO176" s="320">
        <f t="shared" si="166"/>
        <v>0</v>
      </c>
      <c r="BP176" s="320">
        <f t="shared" si="166"/>
        <v>0</v>
      </c>
      <c r="BQ176" s="320">
        <f t="shared" si="166"/>
        <v>0</v>
      </c>
      <c r="BR176" s="320">
        <f t="shared" si="166"/>
        <v>0</v>
      </c>
      <c r="BS176" s="321"/>
    </row>
    <row r="177" ht="13.5" customHeight="1">
      <c r="A177" s="80"/>
      <c r="B177" s="81"/>
      <c r="C177" s="92"/>
      <c r="D177" s="82"/>
      <c r="E177" s="123"/>
      <c r="F177" s="123"/>
      <c r="G177" s="123"/>
      <c r="H177" s="123"/>
      <c r="I177" s="123"/>
      <c r="J177" s="119"/>
      <c r="K177" s="123"/>
      <c r="L177" s="123"/>
      <c r="M177" s="123"/>
      <c r="N177" s="123"/>
      <c r="O177" s="123"/>
      <c r="P177" s="123"/>
      <c r="Q177" s="123"/>
      <c r="R177" s="123"/>
      <c r="S177" s="123"/>
      <c r="T177" s="123"/>
      <c r="U177" s="123"/>
      <c r="V177" s="123"/>
      <c r="W177" s="123"/>
      <c r="X177" s="123"/>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3"/>
      <c r="BQ177" s="123"/>
      <c r="BR177" s="123"/>
      <c r="BS177" s="119"/>
    </row>
    <row r="178" ht="13.5" customHeight="1">
      <c r="A178" s="80"/>
      <c r="B178" s="81" t="str">
        <f>B48&amp;" + "&amp;B50</f>
        <v>Labor - (Management and Admin) + Payroll Taxes &amp; Benefits</v>
      </c>
      <c r="C178" s="92"/>
      <c r="D178" s="82"/>
      <c r="E178" s="123">
        <f t="shared" ref="E178:I178" si="167">SUMIFS($K178:$BR178,$K$2:$BR$2,E$1)</f>
        <v>8688.081639</v>
      </c>
      <c r="F178" s="123">
        <f t="shared" si="167"/>
        <v>109471.5979</v>
      </c>
      <c r="G178" s="123">
        <f t="shared" si="167"/>
        <v>127028.6782</v>
      </c>
      <c r="H178" s="123">
        <f t="shared" si="167"/>
        <v>138808.9526</v>
      </c>
      <c r="I178" s="123">
        <f t="shared" si="167"/>
        <v>150330.0272</v>
      </c>
      <c r="J178" s="119"/>
      <c r="K178" s="123">
        <f t="shared" ref="K178:BR178" si="168">-K48+-K50</f>
        <v>395.2455</v>
      </c>
      <c r="L178" s="123">
        <f t="shared" si="168"/>
        <v>497.7165556</v>
      </c>
      <c r="M178" s="123">
        <f t="shared" si="168"/>
        <v>548.9520833</v>
      </c>
      <c r="N178" s="123">
        <f t="shared" si="168"/>
        <v>600.1876111</v>
      </c>
      <c r="O178" s="123">
        <f t="shared" si="168"/>
        <v>651.4231389</v>
      </c>
      <c r="P178" s="123">
        <f t="shared" si="168"/>
        <v>702.6586667</v>
      </c>
      <c r="Q178" s="123">
        <f t="shared" si="168"/>
        <v>753.8941944</v>
      </c>
      <c r="R178" s="123">
        <f t="shared" si="168"/>
        <v>805.1297222</v>
      </c>
      <c r="S178" s="123">
        <f t="shared" si="168"/>
        <v>856.36525</v>
      </c>
      <c r="T178" s="123">
        <f t="shared" si="168"/>
        <v>907.6007778</v>
      </c>
      <c r="U178" s="123">
        <f t="shared" si="168"/>
        <v>958.8363056</v>
      </c>
      <c r="V178" s="123">
        <f t="shared" si="168"/>
        <v>1010.071833</v>
      </c>
      <c r="W178" s="123">
        <f t="shared" si="168"/>
        <v>8905.06671</v>
      </c>
      <c r="X178" s="123">
        <f t="shared" si="168"/>
        <v>8956.302238</v>
      </c>
      <c r="Y178" s="123">
        <f t="shared" si="168"/>
        <v>9007.537766</v>
      </c>
      <c r="Z178" s="123">
        <f t="shared" si="168"/>
        <v>9058.773294</v>
      </c>
      <c r="AA178" s="123">
        <f t="shared" si="168"/>
        <v>9110.008821</v>
      </c>
      <c r="AB178" s="123">
        <f t="shared" si="168"/>
        <v>9161.244349</v>
      </c>
      <c r="AC178" s="123">
        <f t="shared" si="168"/>
        <v>9175.517103</v>
      </c>
      <c r="AD178" s="123">
        <f t="shared" si="168"/>
        <v>9189.944479</v>
      </c>
      <c r="AE178" s="123">
        <f t="shared" si="168"/>
        <v>9204.528151</v>
      </c>
      <c r="AF178" s="123">
        <f t="shared" si="168"/>
        <v>9219.269813</v>
      </c>
      <c r="AG178" s="123">
        <f t="shared" si="168"/>
        <v>9234.171177</v>
      </c>
      <c r="AH178" s="123">
        <f t="shared" si="168"/>
        <v>9249.233971</v>
      </c>
      <c r="AI178" s="123">
        <f t="shared" si="168"/>
        <v>10518.93021</v>
      </c>
      <c r="AJ178" s="123">
        <f t="shared" si="168"/>
        <v>10530.7401</v>
      </c>
      <c r="AK178" s="123">
        <f t="shared" si="168"/>
        <v>10542.64841</v>
      </c>
      <c r="AL178" s="123">
        <f t="shared" si="168"/>
        <v>10554.65595</v>
      </c>
      <c r="AM178" s="123">
        <f t="shared" si="168"/>
        <v>10566.76356</v>
      </c>
      <c r="AN178" s="123">
        <f t="shared" si="168"/>
        <v>10578.97206</v>
      </c>
      <c r="AO178" s="123">
        <f t="shared" si="168"/>
        <v>10591.2823</v>
      </c>
      <c r="AP178" s="123">
        <f t="shared" si="168"/>
        <v>10603.69512</v>
      </c>
      <c r="AQ178" s="123">
        <f t="shared" si="168"/>
        <v>10616.21139</v>
      </c>
      <c r="AR178" s="123">
        <f t="shared" si="168"/>
        <v>10628.83195</v>
      </c>
      <c r="AS178" s="123">
        <f t="shared" si="168"/>
        <v>10641.55769</v>
      </c>
      <c r="AT178" s="123">
        <f t="shared" si="168"/>
        <v>10654.38948</v>
      </c>
      <c r="AU178" s="123">
        <f t="shared" si="168"/>
        <v>11508.80996</v>
      </c>
      <c r="AV178" s="123">
        <f t="shared" si="168"/>
        <v>11519.22994</v>
      </c>
      <c r="AW178" s="123">
        <f t="shared" si="168"/>
        <v>11529.71939</v>
      </c>
      <c r="AX178" s="123">
        <f t="shared" si="168"/>
        <v>11540.27876</v>
      </c>
      <c r="AY178" s="123">
        <f t="shared" si="168"/>
        <v>11550.90854</v>
      </c>
      <c r="AZ178" s="123">
        <f t="shared" si="168"/>
        <v>11561.60917</v>
      </c>
      <c r="BA178" s="123">
        <f t="shared" si="168"/>
        <v>11572.38115</v>
      </c>
      <c r="BB178" s="123">
        <f t="shared" si="168"/>
        <v>11583.22494</v>
      </c>
      <c r="BC178" s="123">
        <f t="shared" si="168"/>
        <v>11594.14102</v>
      </c>
      <c r="BD178" s="123">
        <f t="shared" si="168"/>
        <v>11605.12988</v>
      </c>
      <c r="BE178" s="123">
        <f t="shared" si="168"/>
        <v>11616.19199</v>
      </c>
      <c r="BF178" s="123">
        <f t="shared" si="168"/>
        <v>11627.32785</v>
      </c>
      <c r="BG178" s="123">
        <f t="shared" si="168"/>
        <v>12464.03551</v>
      </c>
      <c r="BH178" s="123">
        <f t="shared" si="168"/>
        <v>12475.32034</v>
      </c>
      <c r="BI178" s="123">
        <f t="shared" si="168"/>
        <v>12486.68041</v>
      </c>
      <c r="BJ178" s="123">
        <f t="shared" si="168"/>
        <v>12498.11621</v>
      </c>
      <c r="BK178" s="123">
        <f t="shared" si="168"/>
        <v>12509.62825</v>
      </c>
      <c r="BL178" s="123">
        <f t="shared" si="168"/>
        <v>12521.21703</v>
      </c>
      <c r="BM178" s="123">
        <f t="shared" si="168"/>
        <v>12532.88308</v>
      </c>
      <c r="BN178" s="123">
        <f t="shared" si="168"/>
        <v>12544.6269</v>
      </c>
      <c r="BO178" s="123">
        <f t="shared" si="168"/>
        <v>12556.44901</v>
      </c>
      <c r="BP178" s="123">
        <f t="shared" si="168"/>
        <v>12568.34993</v>
      </c>
      <c r="BQ178" s="123">
        <f t="shared" si="168"/>
        <v>12580.33019</v>
      </c>
      <c r="BR178" s="123">
        <f t="shared" si="168"/>
        <v>12592.39033</v>
      </c>
      <c r="BS178" s="119"/>
    </row>
    <row r="179" ht="13.5" customHeight="1">
      <c r="A179" s="91"/>
      <c r="B179" s="283" t="s">
        <v>355</v>
      </c>
      <c r="C179" s="289"/>
      <c r="D179" s="284"/>
      <c r="E179" s="320">
        <f t="shared" ref="E179:I179" si="169">Accounts_Payable_Days_Mgmt</f>
        <v>0</v>
      </c>
      <c r="F179" s="320">
        <f t="shared" si="169"/>
        <v>0</v>
      </c>
      <c r="G179" s="320">
        <f t="shared" si="169"/>
        <v>0</v>
      </c>
      <c r="H179" s="320">
        <f t="shared" si="169"/>
        <v>0</v>
      </c>
      <c r="I179" s="320">
        <f t="shared" si="169"/>
        <v>0</v>
      </c>
      <c r="J179" s="321"/>
      <c r="K179" s="320">
        <f t="shared" ref="K179:BR179" si="170">Accounts_Payable_Days_Mgmt</f>
        <v>0</v>
      </c>
      <c r="L179" s="320">
        <f t="shared" si="170"/>
        <v>0</v>
      </c>
      <c r="M179" s="320">
        <f t="shared" si="170"/>
        <v>0</v>
      </c>
      <c r="N179" s="320">
        <f t="shared" si="170"/>
        <v>0</v>
      </c>
      <c r="O179" s="320">
        <f t="shared" si="170"/>
        <v>0</v>
      </c>
      <c r="P179" s="320">
        <f t="shared" si="170"/>
        <v>0</v>
      </c>
      <c r="Q179" s="320">
        <f t="shared" si="170"/>
        <v>0</v>
      </c>
      <c r="R179" s="320">
        <f t="shared" si="170"/>
        <v>0</v>
      </c>
      <c r="S179" s="320">
        <f t="shared" si="170"/>
        <v>0</v>
      </c>
      <c r="T179" s="320">
        <f t="shared" si="170"/>
        <v>0</v>
      </c>
      <c r="U179" s="320">
        <f t="shared" si="170"/>
        <v>0</v>
      </c>
      <c r="V179" s="320">
        <f t="shared" si="170"/>
        <v>0</v>
      </c>
      <c r="W179" s="320">
        <f t="shared" si="170"/>
        <v>0</v>
      </c>
      <c r="X179" s="320">
        <f t="shared" si="170"/>
        <v>0</v>
      </c>
      <c r="Y179" s="320">
        <f t="shared" si="170"/>
        <v>0</v>
      </c>
      <c r="Z179" s="320">
        <f t="shared" si="170"/>
        <v>0</v>
      </c>
      <c r="AA179" s="320">
        <f t="shared" si="170"/>
        <v>0</v>
      </c>
      <c r="AB179" s="320">
        <f t="shared" si="170"/>
        <v>0</v>
      </c>
      <c r="AC179" s="320">
        <f t="shared" si="170"/>
        <v>0</v>
      </c>
      <c r="AD179" s="320">
        <f t="shared" si="170"/>
        <v>0</v>
      </c>
      <c r="AE179" s="320">
        <f t="shared" si="170"/>
        <v>0</v>
      </c>
      <c r="AF179" s="320">
        <f t="shared" si="170"/>
        <v>0</v>
      </c>
      <c r="AG179" s="320">
        <f t="shared" si="170"/>
        <v>0</v>
      </c>
      <c r="AH179" s="320">
        <f t="shared" si="170"/>
        <v>0</v>
      </c>
      <c r="AI179" s="320">
        <f t="shared" si="170"/>
        <v>0</v>
      </c>
      <c r="AJ179" s="320">
        <f t="shared" si="170"/>
        <v>0</v>
      </c>
      <c r="AK179" s="320">
        <f t="shared" si="170"/>
        <v>0</v>
      </c>
      <c r="AL179" s="320">
        <f t="shared" si="170"/>
        <v>0</v>
      </c>
      <c r="AM179" s="320">
        <f t="shared" si="170"/>
        <v>0</v>
      </c>
      <c r="AN179" s="320">
        <f t="shared" si="170"/>
        <v>0</v>
      </c>
      <c r="AO179" s="320">
        <f t="shared" si="170"/>
        <v>0</v>
      </c>
      <c r="AP179" s="320">
        <f t="shared" si="170"/>
        <v>0</v>
      </c>
      <c r="AQ179" s="320">
        <f t="shared" si="170"/>
        <v>0</v>
      </c>
      <c r="AR179" s="320">
        <f t="shared" si="170"/>
        <v>0</v>
      </c>
      <c r="AS179" s="320">
        <f t="shared" si="170"/>
        <v>0</v>
      </c>
      <c r="AT179" s="320">
        <f t="shared" si="170"/>
        <v>0</v>
      </c>
      <c r="AU179" s="320">
        <f t="shared" si="170"/>
        <v>0</v>
      </c>
      <c r="AV179" s="320">
        <f t="shared" si="170"/>
        <v>0</v>
      </c>
      <c r="AW179" s="320">
        <f t="shared" si="170"/>
        <v>0</v>
      </c>
      <c r="AX179" s="320">
        <f t="shared" si="170"/>
        <v>0</v>
      </c>
      <c r="AY179" s="320">
        <f t="shared" si="170"/>
        <v>0</v>
      </c>
      <c r="AZ179" s="320">
        <f t="shared" si="170"/>
        <v>0</v>
      </c>
      <c r="BA179" s="320">
        <f t="shared" si="170"/>
        <v>0</v>
      </c>
      <c r="BB179" s="320">
        <f t="shared" si="170"/>
        <v>0</v>
      </c>
      <c r="BC179" s="320">
        <f t="shared" si="170"/>
        <v>0</v>
      </c>
      <c r="BD179" s="320">
        <f t="shared" si="170"/>
        <v>0</v>
      </c>
      <c r="BE179" s="320">
        <f t="shared" si="170"/>
        <v>0</v>
      </c>
      <c r="BF179" s="320">
        <f t="shared" si="170"/>
        <v>0</v>
      </c>
      <c r="BG179" s="320">
        <f t="shared" si="170"/>
        <v>0</v>
      </c>
      <c r="BH179" s="320">
        <f t="shared" si="170"/>
        <v>0</v>
      </c>
      <c r="BI179" s="320">
        <f t="shared" si="170"/>
        <v>0</v>
      </c>
      <c r="BJ179" s="320">
        <f t="shared" si="170"/>
        <v>0</v>
      </c>
      <c r="BK179" s="320">
        <f t="shared" si="170"/>
        <v>0</v>
      </c>
      <c r="BL179" s="320">
        <f t="shared" si="170"/>
        <v>0</v>
      </c>
      <c r="BM179" s="320">
        <f t="shared" si="170"/>
        <v>0</v>
      </c>
      <c r="BN179" s="320">
        <f t="shared" si="170"/>
        <v>0</v>
      </c>
      <c r="BO179" s="320">
        <f t="shared" si="170"/>
        <v>0</v>
      </c>
      <c r="BP179" s="320">
        <f t="shared" si="170"/>
        <v>0</v>
      </c>
      <c r="BQ179" s="320">
        <f t="shared" si="170"/>
        <v>0</v>
      </c>
      <c r="BR179" s="320">
        <f t="shared" si="170"/>
        <v>0</v>
      </c>
      <c r="BS179" s="321"/>
    </row>
    <row r="180" ht="15.75" customHeight="1">
      <c r="A180" s="80"/>
      <c r="B180" s="298" t="s">
        <v>138</v>
      </c>
      <c r="C180" s="131"/>
      <c r="D180" s="102"/>
      <c r="E180" s="132">
        <f t="shared" ref="E180:I180" si="171">INDEX($K180:$BR180,,MATCH(E$1,$K$2:$BR$2,0)+11)</f>
        <v>20853.09591</v>
      </c>
      <c r="F180" s="132">
        <f t="shared" si="171"/>
        <v>29016.25027</v>
      </c>
      <c r="G180" s="132">
        <f t="shared" si="171"/>
        <v>32054.63084</v>
      </c>
      <c r="H180" s="132">
        <f t="shared" si="171"/>
        <v>34715.14939</v>
      </c>
      <c r="I180" s="132">
        <f t="shared" si="171"/>
        <v>37596.48967</v>
      </c>
      <c r="J180" s="92"/>
      <c r="K180" s="132">
        <f t="shared" ref="K180:BR180" si="172">(K169/DAY(EOMONTH(K12,0))*K170)+(K172/DAY(EOMONTH(K12,0))*K173)+(K175/DAY(EOMONTH(K12,0))*K176)+(K178/DAY(EOMONTH(K12,0))*K179)</f>
        <v>8159.907097</v>
      </c>
      <c r="L180" s="132">
        <f t="shared" si="172"/>
        <v>10275.43857</v>
      </c>
      <c r="M180" s="132">
        <f t="shared" si="172"/>
        <v>11333.2043</v>
      </c>
      <c r="N180" s="132">
        <f t="shared" si="172"/>
        <v>12390.97004</v>
      </c>
      <c r="O180" s="132">
        <f t="shared" si="172"/>
        <v>13448.73577</v>
      </c>
      <c r="P180" s="132">
        <f t="shared" si="172"/>
        <v>14506.50151</v>
      </c>
      <c r="Q180" s="132">
        <f t="shared" si="172"/>
        <v>15564.26724</v>
      </c>
      <c r="R180" s="132">
        <f t="shared" si="172"/>
        <v>16622.03297</v>
      </c>
      <c r="S180" s="132">
        <f t="shared" si="172"/>
        <v>17679.79871</v>
      </c>
      <c r="T180" s="132">
        <f t="shared" si="172"/>
        <v>18737.56444</v>
      </c>
      <c r="U180" s="132">
        <f t="shared" si="172"/>
        <v>19795.33018</v>
      </c>
      <c r="V180" s="132">
        <f t="shared" si="172"/>
        <v>20853.09591</v>
      </c>
      <c r="W180" s="132">
        <f t="shared" si="172"/>
        <v>21910.86165</v>
      </c>
      <c r="X180" s="132">
        <f t="shared" si="172"/>
        <v>22968.62738</v>
      </c>
      <c r="Y180" s="132">
        <f t="shared" si="172"/>
        <v>24026.39312</v>
      </c>
      <c r="Z180" s="132">
        <f t="shared" si="172"/>
        <v>25084.15885</v>
      </c>
      <c r="AA180" s="132">
        <f t="shared" si="172"/>
        <v>26141.92459</v>
      </c>
      <c r="AB180" s="132">
        <f t="shared" si="172"/>
        <v>27199.69032</v>
      </c>
      <c r="AC180" s="132">
        <f t="shared" si="172"/>
        <v>27494.35363</v>
      </c>
      <c r="AD180" s="132">
        <f t="shared" si="172"/>
        <v>27792.20913</v>
      </c>
      <c r="AE180" s="132">
        <f t="shared" si="172"/>
        <v>28093.2914</v>
      </c>
      <c r="AF180" s="132">
        <f t="shared" si="172"/>
        <v>28397.63539</v>
      </c>
      <c r="AG180" s="132">
        <f t="shared" si="172"/>
        <v>28705.27644</v>
      </c>
      <c r="AH180" s="132">
        <f t="shared" si="172"/>
        <v>29016.25027</v>
      </c>
      <c r="AI180" s="132">
        <f t="shared" si="172"/>
        <v>29258.05235</v>
      </c>
      <c r="AJ180" s="132">
        <f t="shared" si="172"/>
        <v>29501.86945</v>
      </c>
      <c r="AK180" s="132">
        <f t="shared" si="172"/>
        <v>29747.71837</v>
      </c>
      <c r="AL180" s="132">
        <f t="shared" si="172"/>
        <v>29995.61602</v>
      </c>
      <c r="AM180" s="132">
        <f t="shared" si="172"/>
        <v>30245.57949</v>
      </c>
      <c r="AN180" s="132">
        <f t="shared" si="172"/>
        <v>30497.62598</v>
      </c>
      <c r="AO180" s="132">
        <f t="shared" si="172"/>
        <v>30751.77287</v>
      </c>
      <c r="AP180" s="132">
        <f t="shared" si="172"/>
        <v>31008.03764</v>
      </c>
      <c r="AQ180" s="132">
        <f t="shared" si="172"/>
        <v>31266.43795</v>
      </c>
      <c r="AR180" s="132">
        <f t="shared" si="172"/>
        <v>31526.9916</v>
      </c>
      <c r="AS180" s="132">
        <f t="shared" si="172"/>
        <v>31789.71653</v>
      </c>
      <c r="AT180" s="132">
        <f t="shared" si="172"/>
        <v>32054.63084</v>
      </c>
      <c r="AU180" s="132">
        <f t="shared" si="172"/>
        <v>32268.32838</v>
      </c>
      <c r="AV180" s="132">
        <f t="shared" si="172"/>
        <v>32483.45057</v>
      </c>
      <c r="AW180" s="132">
        <f t="shared" si="172"/>
        <v>32700.0069</v>
      </c>
      <c r="AX180" s="132">
        <f t="shared" si="172"/>
        <v>32918.00695</v>
      </c>
      <c r="AY180" s="132">
        <f t="shared" si="172"/>
        <v>33137.46033</v>
      </c>
      <c r="AZ180" s="132">
        <f t="shared" si="172"/>
        <v>33358.37673</v>
      </c>
      <c r="BA180" s="132">
        <f t="shared" si="172"/>
        <v>33580.76591</v>
      </c>
      <c r="BB180" s="132">
        <f t="shared" si="172"/>
        <v>33804.63768</v>
      </c>
      <c r="BC180" s="132">
        <f t="shared" si="172"/>
        <v>34030.00193</v>
      </c>
      <c r="BD180" s="132">
        <f t="shared" si="172"/>
        <v>34256.86861</v>
      </c>
      <c r="BE180" s="132">
        <f t="shared" si="172"/>
        <v>34485.24774</v>
      </c>
      <c r="BF180" s="132">
        <f t="shared" si="172"/>
        <v>34715.14939</v>
      </c>
      <c r="BG180" s="132">
        <f t="shared" si="172"/>
        <v>34946.58372</v>
      </c>
      <c r="BH180" s="132">
        <f t="shared" si="172"/>
        <v>35179.56094</v>
      </c>
      <c r="BI180" s="132">
        <f t="shared" si="172"/>
        <v>35414.09135</v>
      </c>
      <c r="BJ180" s="132">
        <f t="shared" si="172"/>
        <v>35650.18529</v>
      </c>
      <c r="BK180" s="132">
        <f t="shared" si="172"/>
        <v>35887.85319</v>
      </c>
      <c r="BL180" s="132">
        <f t="shared" si="172"/>
        <v>36127.10555</v>
      </c>
      <c r="BM180" s="132">
        <f t="shared" si="172"/>
        <v>36367.95292</v>
      </c>
      <c r="BN180" s="132">
        <f t="shared" si="172"/>
        <v>36610.40594</v>
      </c>
      <c r="BO180" s="132">
        <f t="shared" si="172"/>
        <v>36854.47531</v>
      </c>
      <c r="BP180" s="132">
        <f t="shared" si="172"/>
        <v>37100.17181</v>
      </c>
      <c r="BQ180" s="132">
        <f t="shared" si="172"/>
        <v>37347.50629</v>
      </c>
      <c r="BR180" s="132">
        <f t="shared" si="172"/>
        <v>37596.48967</v>
      </c>
      <c r="BS180" s="75"/>
    </row>
    <row r="181" ht="13.5" customHeight="1">
      <c r="A181" s="80"/>
      <c r="B181" s="92"/>
      <c r="C181" s="92"/>
      <c r="D181" s="92"/>
      <c r="E181" s="119"/>
      <c r="F181" s="119"/>
      <c r="G181" s="119"/>
      <c r="H181" s="119"/>
      <c r="I181" s="119"/>
      <c r="J181" s="119"/>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93"/>
      <c r="BR181" s="93"/>
      <c r="BS181" s="119"/>
    </row>
    <row r="182" ht="13.5" customHeight="1">
      <c r="A182" s="80"/>
      <c r="B182" s="319" t="s">
        <v>316</v>
      </c>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row>
    <row r="183" ht="13.5" customHeight="1">
      <c r="A183" s="80"/>
      <c r="B183" s="81" t="s">
        <v>107</v>
      </c>
      <c r="C183" s="92"/>
      <c r="D183" s="82"/>
      <c r="E183" s="123">
        <f t="shared" ref="E183:I183" si="173">SUMIFS($K183:$BR183,$K$2:$BR$2,E$1)</f>
        <v>92672.87081</v>
      </c>
      <c r="F183" s="123">
        <f t="shared" si="173"/>
        <v>163695.8473</v>
      </c>
      <c r="G183" s="123">
        <f t="shared" si="173"/>
        <v>189949.4254</v>
      </c>
      <c r="H183" s="123">
        <f t="shared" si="173"/>
        <v>207564.7889</v>
      </c>
      <c r="I183" s="123">
        <f t="shared" si="173"/>
        <v>224792.564</v>
      </c>
      <c r="J183" s="119"/>
      <c r="K183" s="123">
        <f t="shared" ref="K183:BR183" si="174">-K$35</f>
        <v>4215.952</v>
      </c>
      <c r="L183" s="123">
        <f t="shared" si="174"/>
        <v>5308.976593</v>
      </c>
      <c r="M183" s="123">
        <f t="shared" si="174"/>
        <v>5855.488889</v>
      </c>
      <c r="N183" s="123">
        <f t="shared" si="174"/>
        <v>6402.001185</v>
      </c>
      <c r="O183" s="123">
        <f t="shared" si="174"/>
        <v>6948.513481</v>
      </c>
      <c r="P183" s="123">
        <f t="shared" si="174"/>
        <v>7495.025778</v>
      </c>
      <c r="Q183" s="123">
        <f t="shared" si="174"/>
        <v>8041.538074</v>
      </c>
      <c r="R183" s="123">
        <f t="shared" si="174"/>
        <v>8588.05037</v>
      </c>
      <c r="S183" s="123">
        <f t="shared" si="174"/>
        <v>9134.562667</v>
      </c>
      <c r="T183" s="123">
        <f t="shared" si="174"/>
        <v>9681.074963</v>
      </c>
      <c r="U183" s="123">
        <f t="shared" si="174"/>
        <v>10227.58726</v>
      </c>
      <c r="V183" s="123">
        <f t="shared" si="174"/>
        <v>10774.09956</v>
      </c>
      <c r="W183" s="123">
        <f t="shared" si="174"/>
        <v>11320.61185</v>
      </c>
      <c r="X183" s="123">
        <f t="shared" si="174"/>
        <v>11867.12415</v>
      </c>
      <c r="Y183" s="123">
        <f t="shared" si="174"/>
        <v>12413.63644</v>
      </c>
      <c r="Z183" s="123">
        <f t="shared" si="174"/>
        <v>12960.14874</v>
      </c>
      <c r="AA183" s="123">
        <f t="shared" si="174"/>
        <v>13506.66104</v>
      </c>
      <c r="AB183" s="123">
        <f t="shared" si="174"/>
        <v>14053.17333</v>
      </c>
      <c r="AC183" s="123">
        <f t="shared" si="174"/>
        <v>14205.41604</v>
      </c>
      <c r="AD183" s="123">
        <f t="shared" si="174"/>
        <v>14359.30805</v>
      </c>
      <c r="AE183" s="123">
        <f t="shared" si="174"/>
        <v>14514.86722</v>
      </c>
      <c r="AF183" s="123">
        <f t="shared" si="174"/>
        <v>14672.11162</v>
      </c>
      <c r="AG183" s="123">
        <f t="shared" si="174"/>
        <v>14831.05949</v>
      </c>
      <c r="AH183" s="123">
        <f t="shared" si="174"/>
        <v>14991.7293</v>
      </c>
      <c r="AI183" s="123">
        <f t="shared" si="174"/>
        <v>15116.66038</v>
      </c>
      <c r="AJ183" s="123">
        <f t="shared" si="174"/>
        <v>15242.63255</v>
      </c>
      <c r="AK183" s="123">
        <f t="shared" si="174"/>
        <v>15369.65449</v>
      </c>
      <c r="AL183" s="123">
        <f t="shared" si="174"/>
        <v>15497.73494</v>
      </c>
      <c r="AM183" s="123">
        <f t="shared" si="174"/>
        <v>15626.88273</v>
      </c>
      <c r="AN183" s="123">
        <f t="shared" si="174"/>
        <v>15757.10676</v>
      </c>
      <c r="AO183" s="123">
        <f t="shared" si="174"/>
        <v>15888.41598</v>
      </c>
      <c r="AP183" s="123">
        <f t="shared" si="174"/>
        <v>16020.81945</v>
      </c>
      <c r="AQ183" s="123">
        <f t="shared" si="174"/>
        <v>16154.32628</v>
      </c>
      <c r="AR183" s="123">
        <f t="shared" si="174"/>
        <v>16288.94566</v>
      </c>
      <c r="AS183" s="123">
        <f t="shared" si="174"/>
        <v>16424.68688</v>
      </c>
      <c r="AT183" s="123">
        <f t="shared" si="174"/>
        <v>16561.55927</v>
      </c>
      <c r="AU183" s="123">
        <f t="shared" si="174"/>
        <v>16671.96966</v>
      </c>
      <c r="AV183" s="123">
        <f t="shared" si="174"/>
        <v>16783.11613</v>
      </c>
      <c r="AW183" s="123">
        <f t="shared" si="174"/>
        <v>16895.00357</v>
      </c>
      <c r="AX183" s="123">
        <f t="shared" si="174"/>
        <v>17007.63692</v>
      </c>
      <c r="AY183" s="123">
        <f t="shared" si="174"/>
        <v>17121.02117</v>
      </c>
      <c r="AZ183" s="123">
        <f t="shared" si="174"/>
        <v>17235.16131</v>
      </c>
      <c r="BA183" s="123">
        <f t="shared" si="174"/>
        <v>17350.06239</v>
      </c>
      <c r="BB183" s="123">
        <f t="shared" si="174"/>
        <v>17465.72947</v>
      </c>
      <c r="BC183" s="123">
        <f t="shared" si="174"/>
        <v>17582.16766</v>
      </c>
      <c r="BD183" s="123">
        <f t="shared" si="174"/>
        <v>17699.38212</v>
      </c>
      <c r="BE183" s="123">
        <f t="shared" si="174"/>
        <v>17817.378</v>
      </c>
      <c r="BF183" s="123">
        <f t="shared" si="174"/>
        <v>17936.16052</v>
      </c>
      <c r="BG183" s="123">
        <f t="shared" si="174"/>
        <v>18055.73492</v>
      </c>
      <c r="BH183" s="123">
        <f t="shared" si="174"/>
        <v>18176.10649</v>
      </c>
      <c r="BI183" s="123">
        <f t="shared" si="174"/>
        <v>18297.28053</v>
      </c>
      <c r="BJ183" s="123">
        <f t="shared" si="174"/>
        <v>18419.2624</v>
      </c>
      <c r="BK183" s="123">
        <f t="shared" si="174"/>
        <v>18542.05748</v>
      </c>
      <c r="BL183" s="123">
        <f t="shared" si="174"/>
        <v>18665.6712</v>
      </c>
      <c r="BM183" s="123">
        <f t="shared" si="174"/>
        <v>18790.10901</v>
      </c>
      <c r="BN183" s="123">
        <f t="shared" si="174"/>
        <v>18915.3764</v>
      </c>
      <c r="BO183" s="123">
        <f t="shared" si="174"/>
        <v>19041.47891</v>
      </c>
      <c r="BP183" s="123">
        <f t="shared" si="174"/>
        <v>19168.4221</v>
      </c>
      <c r="BQ183" s="123">
        <f t="shared" si="174"/>
        <v>19296.21158</v>
      </c>
      <c r="BR183" s="123">
        <f t="shared" si="174"/>
        <v>19424.85299</v>
      </c>
      <c r="BS183" s="119"/>
    </row>
    <row r="184" ht="13.5" customHeight="1">
      <c r="A184" s="91"/>
      <c r="B184" s="283" t="s">
        <v>356</v>
      </c>
      <c r="C184" s="289"/>
      <c r="D184" s="284"/>
      <c r="E184" s="320">
        <f>Acc_Pay_Days_Mat</f>
        <v>60</v>
      </c>
      <c r="F184" s="320">
        <f>Acc_Pay_Days_Mat</f>
        <v>60</v>
      </c>
      <c r="G184" s="320">
        <f>Acc_Pay_Days_Mat</f>
        <v>60</v>
      </c>
      <c r="H184" s="320">
        <f>Acc_Pay_Days_Mat</f>
        <v>60</v>
      </c>
      <c r="I184" s="320">
        <f>Acc_Pay_Days_Mat</f>
        <v>60</v>
      </c>
      <c r="J184" s="321"/>
      <c r="K184" s="320">
        <f>Inv_Days</f>
        <v>60</v>
      </c>
      <c r="L184" s="320">
        <f>Inv_Days</f>
        <v>60</v>
      </c>
      <c r="M184" s="320">
        <f>Inv_Days</f>
        <v>60</v>
      </c>
      <c r="N184" s="320">
        <f>Inv_Days</f>
        <v>60</v>
      </c>
      <c r="O184" s="320">
        <f>Inv_Days</f>
        <v>60</v>
      </c>
      <c r="P184" s="320">
        <f>Inv_Days</f>
        <v>60</v>
      </c>
      <c r="Q184" s="320">
        <f>Inv_Days</f>
        <v>60</v>
      </c>
      <c r="R184" s="320">
        <f>Inv_Days</f>
        <v>60</v>
      </c>
      <c r="S184" s="320">
        <f>Inv_Days</f>
        <v>60</v>
      </c>
      <c r="T184" s="320">
        <f>Inv_Days</f>
        <v>60</v>
      </c>
      <c r="U184" s="320">
        <f>Inv_Days</f>
        <v>60</v>
      </c>
      <c r="V184" s="320">
        <f>Inv_Days</f>
        <v>60</v>
      </c>
      <c r="W184" s="320">
        <f>Inv_Days</f>
        <v>60</v>
      </c>
      <c r="X184" s="320">
        <f>Inv_Days</f>
        <v>60</v>
      </c>
      <c r="Y184" s="320">
        <f>Inv_Days</f>
        <v>60</v>
      </c>
      <c r="Z184" s="320">
        <f>Inv_Days</f>
        <v>60</v>
      </c>
      <c r="AA184" s="320">
        <f>Inv_Days</f>
        <v>60</v>
      </c>
      <c r="AB184" s="320">
        <f>Inv_Days</f>
        <v>60</v>
      </c>
      <c r="AC184" s="320">
        <f>Inv_Days</f>
        <v>60</v>
      </c>
      <c r="AD184" s="320">
        <f>Inv_Days</f>
        <v>60</v>
      </c>
      <c r="AE184" s="320">
        <f>Inv_Days</f>
        <v>60</v>
      </c>
      <c r="AF184" s="320">
        <f>Inv_Days</f>
        <v>60</v>
      </c>
      <c r="AG184" s="320">
        <f>Inv_Days</f>
        <v>60</v>
      </c>
      <c r="AH184" s="320">
        <f>Inv_Days</f>
        <v>60</v>
      </c>
      <c r="AI184" s="320">
        <f>Inv_Days</f>
        <v>60</v>
      </c>
      <c r="AJ184" s="320">
        <f>Inv_Days</f>
        <v>60</v>
      </c>
      <c r="AK184" s="320">
        <f>Inv_Days</f>
        <v>60</v>
      </c>
      <c r="AL184" s="320">
        <f>Inv_Days</f>
        <v>60</v>
      </c>
      <c r="AM184" s="320">
        <f>Inv_Days</f>
        <v>60</v>
      </c>
      <c r="AN184" s="320">
        <f>Inv_Days</f>
        <v>60</v>
      </c>
      <c r="AO184" s="320">
        <f>Inv_Days</f>
        <v>60</v>
      </c>
      <c r="AP184" s="320">
        <f>Inv_Days</f>
        <v>60</v>
      </c>
      <c r="AQ184" s="320">
        <f>Inv_Days</f>
        <v>60</v>
      </c>
      <c r="AR184" s="320">
        <f>Inv_Days</f>
        <v>60</v>
      </c>
      <c r="AS184" s="320">
        <f>Inv_Days</f>
        <v>60</v>
      </c>
      <c r="AT184" s="320">
        <f>Inv_Days</f>
        <v>60</v>
      </c>
      <c r="AU184" s="320">
        <f>Inv_Days</f>
        <v>60</v>
      </c>
      <c r="AV184" s="320">
        <f>Inv_Days</f>
        <v>60</v>
      </c>
      <c r="AW184" s="320">
        <f>Inv_Days</f>
        <v>60</v>
      </c>
      <c r="AX184" s="320">
        <f>Inv_Days</f>
        <v>60</v>
      </c>
      <c r="AY184" s="320">
        <f>Inv_Days</f>
        <v>60</v>
      </c>
      <c r="AZ184" s="320">
        <f>Inv_Days</f>
        <v>60</v>
      </c>
      <c r="BA184" s="320">
        <f>Inv_Days</f>
        <v>60</v>
      </c>
      <c r="BB184" s="320">
        <f>Inv_Days</f>
        <v>60</v>
      </c>
      <c r="BC184" s="320">
        <f>Inv_Days</f>
        <v>60</v>
      </c>
      <c r="BD184" s="320">
        <f>Inv_Days</f>
        <v>60</v>
      </c>
      <c r="BE184" s="320">
        <f>Inv_Days</f>
        <v>60</v>
      </c>
      <c r="BF184" s="320">
        <f>Inv_Days</f>
        <v>60</v>
      </c>
      <c r="BG184" s="320">
        <f>Inv_Days</f>
        <v>60</v>
      </c>
      <c r="BH184" s="320">
        <f>Inv_Days</f>
        <v>60</v>
      </c>
      <c r="BI184" s="320">
        <f>Inv_Days</f>
        <v>60</v>
      </c>
      <c r="BJ184" s="320">
        <f>Inv_Days</f>
        <v>60</v>
      </c>
      <c r="BK184" s="320">
        <f>Inv_Days</f>
        <v>60</v>
      </c>
      <c r="BL184" s="320">
        <f>Inv_Days</f>
        <v>60</v>
      </c>
      <c r="BM184" s="320">
        <f>Inv_Days</f>
        <v>60</v>
      </c>
      <c r="BN184" s="320">
        <f>Inv_Days</f>
        <v>60</v>
      </c>
      <c r="BO184" s="320">
        <f>Inv_Days</f>
        <v>60</v>
      </c>
      <c r="BP184" s="320">
        <f>Inv_Days</f>
        <v>60</v>
      </c>
      <c r="BQ184" s="320">
        <f>Inv_Days</f>
        <v>60</v>
      </c>
      <c r="BR184" s="320">
        <f>Inv_Days</f>
        <v>60</v>
      </c>
      <c r="BS184" s="321"/>
    </row>
    <row r="185" ht="15.75" customHeight="1">
      <c r="A185" s="80"/>
      <c r="B185" s="298" t="s">
        <v>139</v>
      </c>
      <c r="C185" s="131"/>
      <c r="D185" s="102"/>
      <c r="E185" s="132">
        <f t="shared" ref="E185:I185" si="175">INDEX($K185:$BR185,,MATCH(E$1,$K$2:$BR$2,0)+11)</f>
        <v>21253.0183</v>
      </c>
      <c r="F185" s="132">
        <f t="shared" si="175"/>
        <v>29572.7263</v>
      </c>
      <c r="G185" s="132">
        <f t="shared" si="175"/>
        <v>32669.37718</v>
      </c>
      <c r="H185" s="132">
        <f t="shared" si="175"/>
        <v>35380.91938</v>
      </c>
      <c r="I185" s="132">
        <f t="shared" si="175"/>
        <v>38317.51823</v>
      </c>
      <c r="J185" s="92"/>
      <c r="K185" s="132">
        <f t="shared" ref="K185:BR185" si="176">K183/365*12*K184</f>
        <v>8316.398466</v>
      </c>
      <c r="L185" s="132">
        <f t="shared" si="176"/>
        <v>10472.50177</v>
      </c>
      <c r="M185" s="132">
        <f t="shared" si="176"/>
        <v>11550.55342</v>
      </c>
      <c r="N185" s="132">
        <f t="shared" si="176"/>
        <v>12628.60508</v>
      </c>
      <c r="O185" s="132">
        <f t="shared" si="176"/>
        <v>13706.65673</v>
      </c>
      <c r="P185" s="132">
        <f t="shared" si="176"/>
        <v>14784.70838</v>
      </c>
      <c r="Q185" s="132">
        <f t="shared" si="176"/>
        <v>15862.76004</v>
      </c>
      <c r="R185" s="132">
        <f t="shared" si="176"/>
        <v>16940.81169</v>
      </c>
      <c r="S185" s="132">
        <f t="shared" si="176"/>
        <v>18018.86334</v>
      </c>
      <c r="T185" s="132">
        <f t="shared" si="176"/>
        <v>19096.915</v>
      </c>
      <c r="U185" s="132">
        <f t="shared" si="176"/>
        <v>20174.96665</v>
      </c>
      <c r="V185" s="132">
        <f t="shared" si="176"/>
        <v>21253.0183</v>
      </c>
      <c r="W185" s="132">
        <f t="shared" si="176"/>
        <v>22331.06995</v>
      </c>
      <c r="X185" s="132">
        <f t="shared" si="176"/>
        <v>23409.12161</v>
      </c>
      <c r="Y185" s="132">
        <f t="shared" si="176"/>
        <v>24487.17326</v>
      </c>
      <c r="Z185" s="132">
        <f t="shared" si="176"/>
        <v>25565.22491</v>
      </c>
      <c r="AA185" s="132">
        <f t="shared" si="176"/>
        <v>26643.27657</v>
      </c>
      <c r="AB185" s="132">
        <f t="shared" si="176"/>
        <v>27721.32822</v>
      </c>
      <c r="AC185" s="132">
        <f t="shared" si="176"/>
        <v>28021.64261</v>
      </c>
      <c r="AD185" s="132">
        <f t="shared" si="176"/>
        <v>28325.2104</v>
      </c>
      <c r="AE185" s="132">
        <f t="shared" si="176"/>
        <v>28632.06685</v>
      </c>
      <c r="AF185" s="132">
        <f t="shared" si="176"/>
        <v>28942.24757</v>
      </c>
      <c r="AG185" s="132">
        <f t="shared" si="176"/>
        <v>29255.78859</v>
      </c>
      <c r="AH185" s="132">
        <f t="shared" si="176"/>
        <v>29572.7263</v>
      </c>
      <c r="AI185" s="132">
        <f t="shared" si="176"/>
        <v>29819.16568</v>
      </c>
      <c r="AJ185" s="132">
        <f t="shared" si="176"/>
        <v>30067.65873</v>
      </c>
      <c r="AK185" s="132">
        <f t="shared" si="176"/>
        <v>30318.22255</v>
      </c>
      <c r="AL185" s="132">
        <f t="shared" si="176"/>
        <v>30570.87441</v>
      </c>
      <c r="AM185" s="132">
        <f t="shared" si="176"/>
        <v>30825.6317</v>
      </c>
      <c r="AN185" s="132">
        <f t="shared" si="176"/>
        <v>31082.51196</v>
      </c>
      <c r="AO185" s="132">
        <f t="shared" si="176"/>
        <v>31341.53289</v>
      </c>
      <c r="AP185" s="132">
        <f t="shared" si="176"/>
        <v>31602.71233</v>
      </c>
      <c r="AQ185" s="132">
        <f t="shared" si="176"/>
        <v>31866.06827</v>
      </c>
      <c r="AR185" s="132">
        <f t="shared" si="176"/>
        <v>32131.61884</v>
      </c>
      <c r="AS185" s="132">
        <f t="shared" si="176"/>
        <v>32399.38233</v>
      </c>
      <c r="AT185" s="132">
        <f t="shared" si="176"/>
        <v>32669.37718</v>
      </c>
      <c r="AU185" s="132">
        <f t="shared" si="176"/>
        <v>32887.17303</v>
      </c>
      <c r="AV185" s="132">
        <f t="shared" si="176"/>
        <v>33106.42085</v>
      </c>
      <c r="AW185" s="132">
        <f t="shared" si="176"/>
        <v>33327.13032</v>
      </c>
      <c r="AX185" s="132">
        <f t="shared" si="176"/>
        <v>33549.31119</v>
      </c>
      <c r="AY185" s="132">
        <f t="shared" si="176"/>
        <v>33772.97327</v>
      </c>
      <c r="AZ185" s="132">
        <f t="shared" si="176"/>
        <v>33998.12642</v>
      </c>
      <c r="BA185" s="132">
        <f t="shared" si="176"/>
        <v>34224.7806</v>
      </c>
      <c r="BB185" s="132">
        <f t="shared" si="176"/>
        <v>34452.9458</v>
      </c>
      <c r="BC185" s="132">
        <f t="shared" si="176"/>
        <v>34682.63211</v>
      </c>
      <c r="BD185" s="132">
        <f t="shared" si="176"/>
        <v>34913.84965</v>
      </c>
      <c r="BE185" s="132">
        <f t="shared" si="176"/>
        <v>35146.60865</v>
      </c>
      <c r="BF185" s="132">
        <f t="shared" si="176"/>
        <v>35380.91938</v>
      </c>
      <c r="BG185" s="132">
        <f t="shared" si="176"/>
        <v>35616.79217</v>
      </c>
      <c r="BH185" s="132">
        <f t="shared" si="176"/>
        <v>35854.23745</v>
      </c>
      <c r="BI185" s="132">
        <f t="shared" si="176"/>
        <v>36093.2657</v>
      </c>
      <c r="BJ185" s="132">
        <f t="shared" si="176"/>
        <v>36333.88747</v>
      </c>
      <c r="BK185" s="132">
        <f t="shared" si="176"/>
        <v>36576.11339</v>
      </c>
      <c r="BL185" s="132">
        <f t="shared" si="176"/>
        <v>36819.95415</v>
      </c>
      <c r="BM185" s="132">
        <f t="shared" si="176"/>
        <v>37065.42051</v>
      </c>
      <c r="BN185" s="132">
        <f t="shared" si="176"/>
        <v>37312.52331</v>
      </c>
      <c r="BO185" s="132">
        <f t="shared" si="176"/>
        <v>37561.27347</v>
      </c>
      <c r="BP185" s="132">
        <f t="shared" si="176"/>
        <v>37811.68196</v>
      </c>
      <c r="BQ185" s="132">
        <f t="shared" si="176"/>
        <v>38063.75984</v>
      </c>
      <c r="BR185" s="132">
        <f t="shared" si="176"/>
        <v>38317.51823</v>
      </c>
      <c r="BS185" s="75"/>
    </row>
    <row r="186" ht="15.75" customHeight="1">
      <c r="A186" s="80"/>
      <c r="B186" s="122"/>
      <c r="C186" s="92"/>
      <c r="D186" s="92"/>
      <c r="E186" s="119"/>
      <c r="F186" s="119"/>
      <c r="G186" s="119"/>
      <c r="H186" s="119"/>
      <c r="I186" s="119"/>
      <c r="J186" s="119"/>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119"/>
    </row>
    <row r="187" ht="15.75" customHeight="1">
      <c r="A187" s="80"/>
      <c r="B187" s="98" t="s">
        <v>136</v>
      </c>
      <c r="C187" s="98"/>
      <c r="D187" s="99"/>
      <c r="E187" s="300">
        <f t="shared" ref="E187:I187" si="177">E$166-E$180+E$185</f>
        <v>32982.88475</v>
      </c>
      <c r="F187" s="300">
        <f t="shared" si="177"/>
        <v>45894.36707</v>
      </c>
      <c r="G187" s="300">
        <f t="shared" si="177"/>
        <v>50700.10703</v>
      </c>
      <c r="H187" s="300">
        <f t="shared" si="177"/>
        <v>54908.19091</v>
      </c>
      <c r="I187" s="300">
        <f t="shared" si="177"/>
        <v>59465.54367</v>
      </c>
      <c r="J187" s="92"/>
      <c r="K187" s="300">
        <f t="shared" ref="K187:BR187" si="178">K$166-K$180+K$185</f>
        <v>12906.34621</v>
      </c>
      <c r="L187" s="300">
        <f t="shared" si="178"/>
        <v>16787.61506</v>
      </c>
      <c r="M187" s="300">
        <f t="shared" si="178"/>
        <v>17925.48084</v>
      </c>
      <c r="N187" s="300">
        <f t="shared" si="178"/>
        <v>20243.88875</v>
      </c>
      <c r="O187" s="300">
        <f t="shared" si="178"/>
        <v>21271.5706</v>
      </c>
      <c r="P187" s="300">
        <f t="shared" si="178"/>
        <v>22944.61548</v>
      </c>
      <c r="Q187" s="300">
        <f t="shared" si="178"/>
        <v>27223.28546</v>
      </c>
      <c r="R187" s="300">
        <f t="shared" si="178"/>
        <v>26290.70524</v>
      </c>
      <c r="S187" s="300">
        <f t="shared" si="178"/>
        <v>28884.57297</v>
      </c>
      <c r="T187" s="300">
        <f t="shared" si="178"/>
        <v>29636.795</v>
      </c>
      <c r="U187" s="300">
        <f t="shared" si="178"/>
        <v>32340.84665</v>
      </c>
      <c r="V187" s="300">
        <f t="shared" si="178"/>
        <v>32982.88475</v>
      </c>
      <c r="W187" s="300">
        <f t="shared" si="178"/>
        <v>34655.92963</v>
      </c>
      <c r="X187" s="300">
        <f t="shared" si="178"/>
        <v>37525.25719</v>
      </c>
      <c r="Y187" s="300">
        <f t="shared" si="178"/>
        <v>38002.01939</v>
      </c>
      <c r="Z187" s="300">
        <f t="shared" si="178"/>
        <v>40981.53088</v>
      </c>
      <c r="AA187" s="300">
        <f t="shared" si="178"/>
        <v>41348.10915</v>
      </c>
      <c r="AB187" s="300">
        <f t="shared" si="178"/>
        <v>43021.15403</v>
      </c>
      <c r="AC187" s="300">
        <f t="shared" si="178"/>
        <v>48090.06591</v>
      </c>
      <c r="AD187" s="300">
        <f t="shared" si="178"/>
        <v>43958.32804</v>
      </c>
      <c r="AE187" s="300">
        <f t="shared" si="178"/>
        <v>45897.73552</v>
      </c>
      <c r="AF187" s="300">
        <f t="shared" si="178"/>
        <v>44915.91748</v>
      </c>
      <c r="AG187" s="300">
        <f t="shared" si="178"/>
        <v>46897.57307</v>
      </c>
      <c r="AH187" s="300">
        <f t="shared" si="178"/>
        <v>45894.36707</v>
      </c>
      <c r="AI187" s="300">
        <f t="shared" si="178"/>
        <v>46276.82013</v>
      </c>
      <c r="AJ187" s="300">
        <f t="shared" si="178"/>
        <v>48199.016</v>
      </c>
      <c r="AK187" s="300">
        <f t="shared" si="178"/>
        <v>47051.31414</v>
      </c>
      <c r="AL187" s="300">
        <f t="shared" si="178"/>
        <v>49005.68009</v>
      </c>
      <c r="AM187" s="300">
        <f t="shared" si="178"/>
        <v>47838.77016</v>
      </c>
      <c r="AN187" s="300">
        <f t="shared" si="178"/>
        <v>48237.42657</v>
      </c>
      <c r="AO187" s="300">
        <f t="shared" si="178"/>
        <v>53787.58139</v>
      </c>
      <c r="AP187" s="300">
        <f t="shared" si="178"/>
        <v>49044.73351</v>
      </c>
      <c r="AQ187" s="300">
        <f t="shared" si="178"/>
        <v>51081.89993</v>
      </c>
      <c r="AR187" s="300">
        <f t="shared" si="178"/>
        <v>49865.55162</v>
      </c>
      <c r="AS187" s="300">
        <f t="shared" si="178"/>
        <v>51936.81228</v>
      </c>
      <c r="AT187" s="300">
        <f t="shared" si="178"/>
        <v>50700.10703</v>
      </c>
      <c r="AU187" s="300">
        <f t="shared" si="178"/>
        <v>51038.10774</v>
      </c>
      <c r="AV187" s="300">
        <f t="shared" si="178"/>
        <v>53070.20818</v>
      </c>
      <c r="AW187" s="300">
        <f t="shared" si="178"/>
        <v>51720.8842</v>
      </c>
      <c r="AX187" s="300">
        <f t="shared" si="178"/>
        <v>53780.16963</v>
      </c>
      <c r="AY187" s="300">
        <f t="shared" si="178"/>
        <v>52412.7947</v>
      </c>
      <c r="AZ187" s="300">
        <f t="shared" si="178"/>
        <v>52762.21333</v>
      </c>
      <c r="BA187" s="300">
        <f t="shared" si="178"/>
        <v>56732.57844</v>
      </c>
      <c r="BB187" s="300">
        <f t="shared" si="178"/>
        <v>53468.0545</v>
      </c>
      <c r="BC187" s="300">
        <f t="shared" si="178"/>
        <v>55596.90413</v>
      </c>
      <c r="BD187" s="300">
        <f t="shared" si="178"/>
        <v>54183.33825</v>
      </c>
      <c r="BE187" s="300">
        <f t="shared" si="178"/>
        <v>56340.66716</v>
      </c>
      <c r="BF187" s="300">
        <f t="shared" si="178"/>
        <v>54908.19091</v>
      </c>
      <c r="BG187" s="300">
        <f t="shared" si="178"/>
        <v>55274.24551</v>
      </c>
      <c r="BH187" s="300">
        <f t="shared" si="178"/>
        <v>57475.00928</v>
      </c>
      <c r="BI187" s="300">
        <f t="shared" si="178"/>
        <v>56013.69209</v>
      </c>
      <c r="BJ187" s="300">
        <f t="shared" si="178"/>
        <v>58243.89718</v>
      </c>
      <c r="BK187" s="300">
        <f t="shared" si="178"/>
        <v>56763.03081</v>
      </c>
      <c r="BL187" s="300">
        <f t="shared" si="178"/>
        <v>57141.45102</v>
      </c>
      <c r="BM187" s="300">
        <f t="shared" si="178"/>
        <v>63610.779</v>
      </c>
      <c r="BN187" s="300">
        <f t="shared" si="178"/>
        <v>57905.87665</v>
      </c>
      <c r="BO187" s="300">
        <f t="shared" si="178"/>
        <v>60211.41975</v>
      </c>
      <c r="BP187" s="300">
        <f t="shared" si="178"/>
        <v>58680.5286</v>
      </c>
      <c r="BQ187" s="300">
        <f t="shared" si="178"/>
        <v>61016.91474</v>
      </c>
      <c r="BR187" s="300">
        <f t="shared" si="178"/>
        <v>59465.54367</v>
      </c>
      <c r="BS187" s="75"/>
    </row>
    <row r="188" ht="15.75" customHeight="1">
      <c r="A188" s="80"/>
      <c r="B188" s="122"/>
      <c r="C188" s="92"/>
      <c r="D188" s="85"/>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3"/>
      <c r="BG188" s="93"/>
      <c r="BH188" s="93"/>
      <c r="BI188" s="93"/>
      <c r="BJ188" s="93"/>
      <c r="BK188" s="93"/>
      <c r="BL188" s="93"/>
      <c r="BM188" s="93"/>
      <c r="BN188" s="93"/>
      <c r="BO188" s="93"/>
      <c r="BP188" s="93"/>
      <c r="BQ188" s="93"/>
      <c r="BR188" s="93"/>
      <c r="BS188" s="119"/>
    </row>
    <row r="189" ht="15.75" customHeight="1">
      <c r="A189" s="80"/>
      <c r="B189" s="136" t="s">
        <v>99</v>
      </c>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5"/>
      <c r="BS189" s="282"/>
    </row>
    <row r="190" ht="15.75" customHeight="1">
      <c r="A190" s="106"/>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5"/>
      <c r="BS190" s="75"/>
    </row>
    <row r="191" ht="15.75" customHeight="1">
      <c r="A191" s="80"/>
      <c r="B191" s="298" t="s">
        <v>357</v>
      </c>
      <c r="C191" s="131"/>
      <c r="D191" s="102"/>
      <c r="E191" s="132" t="str">
        <f t="shared" ref="E191:I191" si="179">INDEX($K191:$BR191,,MATCH(E$1,$K$2:$BR$2,0))</f>
        <v/>
      </c>
      <c r="F191" s="132">
        <f t="shared" si="179"/>
        <v>219450</v>
      </c>
      <c r="G191" s="132">
        <f t="shared" si="179"/>
        <v>199500</v>
      </c>
      <c r="H191" s="132">
        <f t="shared" si="179"/>
        <v>179550</v>
      </c>
      <c r="I191" s="132">
        <f t="shared" si="179"/>
        <v>159600</v>
      </c>
      <c r="J191" s="92"/>
      <c r="K191" s="132" t="str">
        <f t="shared" ref="K191:BR191" si="180">J194</f>
        <v/>
      </c>
      <c r="L191" s="132">
        <f t="shared" si="180"/>
        <v>237737.5</v>
      </c>
      <c r="M191" s="132">
        <f t="shared" si="180"/>
        <v>236075</v>
      </c>
      <c r="N191" s="132">
        <f t="shared" si="180"/>
        <v>234412.5</v>
      </c>
      <c r="O191" s="132">
        <f t="shared" si="180"/>
        <v>232750</v>
      </c>
      <c r="P191" s="132">
        <f t="shared" si="180"/>
        <v>231087.5</v>
      </c>
      <c r="Q191" s="132">
        <f t="shared" si="180"/>
        <v>229425</v>
      </c>
      <c r="R191" s="132">
        <f t="shared" si="180"/>
        <v>227762.5</v>
      </c>
      <c r="S191" s="132">
        <f t="shared" si="180"/>
        <v>226100</v>
      </c>
      <c r="T191" s="132">
        <f t="shared" si="180"/>
        <v>224437.5</v>
      </c>
      <c r="U191" s="132">
        <f t="shared" si="180"/>
        <v>222775</v>
      </c>
      <c r="V191" s="132">
        <f t="shared" si="180"/>
        <v>221112.5</v>
      </c>
      <c r="W191" s="132">
        <f t="shared" si="180"/>
        <v>219450</v>
      </c>
      <c r="X191" s="132">
        <f t="shared" si="180"/>
        <v>217787.5</v>
      </c>
      <c r="Y191" s="132">
        <f t="shared" si="180"/>
        <v>216125</v>
      </c>
      <c r="Z191" s="132">
        <f t="shared" si="180"/>
        <v>214462.5</v>
      </c>
      <c r="AA191" s="132">
        <f t="shared" si="180"/>
        <v>212800</v>
      </c>
      <c r="AB191" s="132">
        <f t="shared" si="180"/>
        <v>211137.5</v>
      </c>
      <c r="AC191" s="132">
        <f t="shared" si="180"/>
        <v>209475</v>
      </c>
      <c r="AD191" s="132">
        <f t="shared" si="180"/>
        <v>207812.5</v>
      </c>
      <c r="AE191" s="132">
        <f t="shared" si="180"/>
        <v>206150</v>
      </c>
      <c r="AF191" s="132">
        <f t="shared" si="180"/>
        <v>204487.5</v>
      </c>
      <c r="AG191" s="132">
        <f t="shared" si="180"/>
        <v>202825</v>
      </c>
      <c r="AH191" s="132">
        <f t="shared" si="180"/>
        <v>201162.5</v>
      </c>
      <c r="AI191" s="132">
        <f t="shared" si="180"/>
        <v>199500</v>
      </c>
      <c r="AJ191" s="132">
        <f t="shared" si="180"/>
        <v>197837.5</v>
      </c>
      <c r="AK191" s="132">
        <f t="shared" si="180"/>
        <v>196175</v>
      </c>
      <c r="AL191" s="132">
        <f t="shared" si="180"/>
        <v>194512.5</v>
      </c>
      <c r="AM191" s="132">
        <f t="shared" si="180"/>
        <v>192850</v>
      </c>
      <c r="AN191" s="132">
        <f t="shared" si="180"/>
        <v>191187.5</v>
      </c>
      <c r="AO191" s="132">
        <f t="shared" si="180"/>
        <v>189525</v>
      </c>
      <c r="AP191" s="132">
        <f t="shared" si="180"/>
        <v>187862.5</v>
      </c>
      <c r="AQ191" s="132">
        <f t="shared" si="180"/>
        <v>186200</v>
      </c>
      <c r="AR191" s="132">
        <f t="shared" si="180"/>
        <v>184537.5</v>
      </c>
      <c r="AS191" s="132">
        <f t="shared" si="180"/>
        <v>182875</v>
      </c>
      <c r="AT191" s="132">
        <f t="shared" si="180"/>
        <v>181212.5</v>
      </c>
      <c r="AU191" s="132">
        <f t="shared" si="180"/>
        <v>179550</v>
      </c>
      <c r="AV191" s="132">
        <f t="shared" si="180"/>
        <v>177887.5</v>
      </c>
      <c r="AW191" s="132">
        <f t="shared" si="180"/>
        <v>176225</v>
      </c>
      <c r="AX191" s="132">
        <f t="shared" si="180"/>
        <v>174562.5</v>
      </c>
      <c r="AY191" s="132">
        <f t="shared" si="180"/>
        <v>172900</v>
      </c>
      <c r="AZ191" s="132">
        <f t="shared" si="180"/>
        <v>171237.5</v>
      </c>
      <c r="BA191" s="132">
        <f t="shared" si="180"/>
        <v>169575</v>
      </c>
      <c r="BB191" s="132">
        <f t="shared" si="180"/>
        <v>167912.5</v>
      </c>
      <c r="BC191" s="132">
        <f t="shared" si="180"/>
        <v>166250</v>
      </c>
      <c r="BD191" s="132">
        <f t="shared" si="180"/>
        <v>164587.5</v>
      </c>
      <c r="BE191" s="132">
        <f t="shared" si="180"/>
        <v>162925</v>
      </c>
      <c r="BF191" s="132">
        <f t="shared" si="180"/>
        <v>161262.5</v>
      </c>
      <c r="BG191" s="132">
        <f t="shared" si="180"/>
        <v>159600</v>
      </c>
      <c r="BH191" s="132">
        <f t="shared" si="180"/>
        <v>157937.5</v>
      </c>
      <c r="BI191" s="132">
        <f t="shared" si="180"/>
        <v>156275</v>
      </c>
      <c r="BJ191" s="132">
        <f t="shared" si="180"/>
        <v>154612.5</v>
      </c>
      <c r="BK191" s="132">
        <f t="shared" si="180"/>
        <v>152950</v>
      </c>
      <c r="BL191" s="132">
        <f t="shared" si="180"/>
        <v>151287.5</v>
      </c>
      <c r="BM191" s="132">
        <f t="shared" si="180"/>
        <v>149625</v>
      </c>
      <c r="BN191" s="132">
        <f t="shared" si="180"/>
        <v>147962.5</v>
      </c>
      <c r="BO191" s="132">
        <f t="shared" si="180"/>
        <v>146300</v>
      </c>
      <c r="BP191" s="132">
        <f t="shared" si="180"/>
        <v>144637.5</v>
      </c>
      <c r="BQ191" s="132">
        <f t="shared" si="180"/>
        <v>142975</v>
      </c>
      <c r="BR191" s="132">
        <f t="shared" si="180"/>
        <v>141312.5</v>
      </c>
      <c r="BS191" s="75"/>
    </row>
    <row r="192" ht="13.5" customHeight="1">
      <c r="A192" s="80"/>
      <c r="B192" s="81" t="s">
        <v>358</v>
      </c>
      <c r="C192" s="119"/>
      <c r="D192" s="92"/>
      <c r="E192" s="123">
        <f t="shared" ref="E192:I192" si="181">SUMIF($K$2:$BR$2,E$1,$K192:$BR192)</f>
        <v>239400</v>
      </c>
      <c r="F192" s="123">
        <f t="shared" si="181"/>
        <v>0</v>
      </c>
      <c r="G192" s="123">
        <f t="shared" si="181"/>
        <v>0</v>
      </c>
      <c r="H192" s="123">
        <f t="shared" si="181"/>
        <v>0</v>
      </c>
      <c r="I192" s="123">
        <f t="shared" si="181"/>
        <v>0</v>
      </c>
      <c r="J192" s="314"/>
      <c r="K192" s="123">
        <f t="array" ref="K192">IFERROR(IF(K$2&lt;&gt;J$2,INDEX(Debt_Amt1,K$2),0),0)</f>
        <v>239400</v>
      </c>
      <c r="L192" s="123">
        <f t="array" ref="L192">IFERROR(IF(L$2&lt;&gt;K$2,INDEX(Debt_Amt1,L$2),0),0)</f>
        <v>0</v>
      </c>
      <c r="M192" s="123">
        <f t="array" ref="M192">IFERROR(IF(M$2&lt;&gt;L$2,INDEX(Debt_Amt1,M$2),0),0)</f>
        <v>0</v>
      </c>
      <c r="N192" s="123">
        <f t="array" ref="N192">IFERROR(IF(N$2&lt;&gt;M$2,INDEX(Debt_Amt1,N$2),0),0)</f>
        <v>0</v>
      </c>
      <c r="O192" s="123">
        <f t="array" ref="O192">IFERROR(IF(O$2&lt;&gt;N$2,INDEX(Debt_Amt1,O$2),0),0)</f>
        <v>0</v>
      </c>
      <c r="P192" s="123">
        <f t="array" ref="P192">IFERROR(IF(P$2&lt;&gt;O$2,INDEX(Debt_Amt1,P$2),0),0)</f>
        <v>0</v>
      </c>
      <c r="Q192" s="123">
        <f t="array" ref="Q192">IFERROR(IF(Q$2&lt;&gt;P$2,INDEX(Debt_Amt1,Q$2),0),0)</f>
        <v>0</v>
      </c>
      <c r="R192" s="123">
        <f t="array" ref="R192">IFERROR(IF(R$2&lt;&gt;Q$2,INDEX(Debt_Amt1,R$2),0),0)</f>
        <v>0</v>
      </c>
      <c r="S192" s="123">
        <f t="array" ref="S192">IFERROR(IF(S$2&lt;&gt;R$2,INDEX(Debt_Amt1,S$2),0),0)</f>
        <v>0</v>
      </c>
      <c r="T192" s="123">
        <f t="array" ref="T192">IFERROR(IF(T$2&lt;&gt;S$2,INDEX(Debt_Amt1,T$2),0),0)</f>
        <v>0</v>
      </c>
      <c r="U192" s="123">
        <f t="array" ref="U192">IFERROR(IF(U$2&lt;&gt;T$2,INDEX(Debt_Amt1,U$2),0),0)</f>
        <v>0</v>
      </c>
      <c r="V192" s="123">
        <f t="array" ref="V192">IFERROR(IF(V$2&lt;&gt;U$2,INDEX(Debt_Amt1,V$2),0),0)</f>
        <v>0</v>
      </c>
      <c r="W192" s="123">
        <f t="array" ref="W192">IFERROR(IF(W$2&lt;&gt;V$2,INDEX(Debt_Amt1,W$2),0),0)</f>
        <v>0</v>
      </c>
      <c r="X192" s="123">
        <f t="array" ref="X192">IFERROR(IF(X$2&lt;&gt;W$2,INDEX(Debt_Amt1,X$2),0),0)</f>
        <v>0</v>
      </c>
      <c r="Y192" s="123">
        <f t="array" ref="Y192">IFERROR(IF(Y$2&lt;&gt;X$2,INDEX(Debt_Amt1,Y$2),0),0)</f>
        <v>0</v>
      </c>
      <c r="Z192" s="123">
        <f t="array" ref="Z192">IFERROR(IF(Z$2&lt;&gt;Y$2,INDEX(Debt_Amt1,Z$2),0),0)</f>
        <v>0</v>
      </c>
      <c r="AA192" s="123">
        <f t="array" ref="AA192">IFERROR(IF(AA$2&lt;&gt;Z$2,INDEX(Debt_Amt1,AA$2),0),0)</f>
        <v>0</v>
      </c>
      <c r="AB192" s="123">
        <f t="array" ref="AB192">IFERROR(IF(AB$2&lt;&gt;AA$2,INDEX(Debt_Amt1,AB$2),0),0)</f>
        <v>0</v>
      </c>
      <c r="AC192" s="123">
        <f t="array" ref="AC192">IFERROR(IF(AC$2&lt;&gt;AB$2,INDEX(Debt_Amt1,AC$2),0),0)</f>
        <v>0</v>
      </c>
      <c r="AD192" s="123">
        <f t="array" ref="AD192">IFERROR(IF(AD$2&lt;&gt;AC$2,INDEX(Debt_Amt1,AD$2),0),0)</f>
        <v>0</v>
      </c>
      <c r="AE192" s="123">
        <f t="array" ref="AE192">IFERROR(IF(AE$2&lt;&gt;AD$2,INDEX(Debt_Amt1,AE$2),0),0)</f>
        <v>0</v>
      </c>
      <c r="AF192" s="123">
        <f t="array" ref="AF192">IFERROR(IF(AF$2&lt;&gt;AE$2,INDEX(Debt_Amt1,AF$2),0),0)</f>
        <v>0</v>
      </c>
      <c r="AG192" s="123">
        <f t="array" ref="AG192">IFERROR(IF(AG$2&lt;&gt;AF$2,INDEX(Debt_Amt1,AG$2),0),0)</f>
        <v>0</v>
      </c>
      <c r="AH192" s="123">
        <f t="array" ref="AH192">IFERROR(IF(AH$2&lt;&gt;AG$2,INDEX(Debt_Amt1,AH$2),0),0)</f>
        <v>0</v>
      </c>
      <c r="AI192" s="123">
        <f t="array" ref="AI192">IFERROR(IF(AI$2&lt;&gt;AH$2,INDEX(Debt_Amt1,AI$2),0),0)</f>
        <v>0</v>
      </c>
      <c r="AJ192" s="123">
        <f t="array" ref="AJ192">IFERROR(IF(AJ$2&lt;&gt;AI$2,INDEX(Debt_Amt1,AJ$2),0),0)</f>
        <v>0</v>
      </c>
      <c r="AK192" s="123">
        <f t="array" ref="AK192">IFERROR(IF(AK$2&lt;&gt;AJ$2,INDEX(Debt_Amt1,AK$2),0),0)</f>
        <v>0</v>
      </c>
      <c r="AL192" s="123">
        <f t="array" ref="AL192">IFERROR(IF(AL$2&lt;&gt;AK$2,INDEX(Debt_Amt1,AL$2),0),0)</f>
        <v>0</v>
      </c>
      <c r="AM192" s="123">
        <f t="array" ref="AM192">IFERROR(IF(AM$2&lt;&gt;AL$2,INDEX(Debt_Amt1,AM$2),0),0)</f>
        <v>0</v>
      </c>
      <c r="AN192" s="123">
        <f t="array" ref="AN192">IFERROR(IF(AN$2&lt;&gt;AM$2,INDEX(Debt_Amt1,AN$2),0),0)</f>
        <v>0</v>
      </c>
      <c r="AO192" s="123">
        <f t="array" ref="AO192">IFERROR(IF(AO$2&lt;&gt;AN$2,INDEX(Debt_Amt1,AO$2),0),0)</f>
        <v>0</v>
      </c>
      <c r="AP192" s="123">
        <f t="array" ref="AP192">IFERROR(IF(AP$2&lt;&gt;AO$2,INDEX(Debt_Amt1,AP$2),0),0)</f>
        <v>0</v>
      </c>
      <c r="AQ192" s="123">
        <f t="array" ref="AQ192">IFERROR(IF(AQ$2&lt;&gt;AP$2,INDEX(Debt_Amt1,AQ$2),0),0)</f>
        <v>0</v>
      </c>
      <c r="AR192" s="123">
        <f t="array" ref="AR192">IFERROR(IF(AR$2&lt;&gt;AQ$2,INDEX(Debt_Amt1,AR$2),0),0)</f>
        <v>0</v>
      </c>
      <c r="AS192" s="123">
        <f t="array" ref="AS192">IFERROR(IF(AS$2&lt;&gt;AR$2,INDEX(Debt_Amt1,AS$2),0),0)</f>
        <v>0</v>
      </c>
      <c r="AT192" s="123">
        <f t="array" ref="AT192">IFERROR(IF(AT$2&lt;&gt;AS$2,INDEX(Debt_Amt1,AT$2),0),0)</f>
        <v>0</v>
      </c>
      <c r="AU192" s="123">
        <f t="array" ref="AU192">IFERROR(IF(AU$2&lt;&gt;AT$2,INDEX(Debt_Amt1,AU$2),0),0)</f>
        <v>0</v>
      </c>
      <c r="AV192" s="123">
        <f t="array" ref="AV192">IFERROR(IF(AV$2&lt;&gt;AU$2,INDEX(Debt_Amt1,AV$2),0),0)</f>
        <v>0</v>
      </c>
      <c r="AW192" s="123">
        <f t="array" ref="AW192">IFERROR(IF(AW$2&lt;&gt;AV$2,INDEX(Debt_Amt1,AW$2),0),0)</f>
        <v>0</v>
      </c>
      <c r="AX192" s="123">
        <f t="array" ref="AX192">IFERROR(IF(AX$2&lt;&gt;AW$2,INDEX(Debt_Amt1,AX$2),0),0)</f>
        <v>0</v>
      </c>
      <c r="AY192" s="123">
        <f t="array" ref="AY192">IFERROR(IF(AY$2&lt;&gt;AX$2,INDEX(Debt_Amt1,AY$2),0),0)</f>
        <v>0</v>
      </c>
      <c r="AZ192" s="123">
        <f t="array" ref="AZ192">IFERROR(IF(AZ$2&lt;&gt;AY$2,INDEX(Debt_Amt1,AZ$2),0),0)</f>
        <v>0</v>
      </c>
      <c r="BA192" s="123">
        <f t="array" ref="BA192">IFERROR(IF(BA$2&lt;&gt;AZ$2,INDEX(Debt_Amt1,BA$2),0),0)</f>
        <v>0</v>
      </c>
      <c r="BB192" s="123">
        <f t="array" ref="BB192">IFERROR(IF(BB$2&lt;&gt;BA$2,INDEX(Debt_Amt1,BB$2),0),0)</f>
        <v>0</v>
      </c>
      <c r="BC192" s="123">
        <f t="array" ref="BC192">IFERROR(IF(BC$2&lt;&gt;BB$2,INDEX(Debt_Amt1,BC$2),0),0)</f>
        <v>0</v>
      </c>
      <c r="BD192" s="123">
        <f t="array" ref="BD192">IFERROR(IF(BD$2&lt;&gt;BC$2,INDEX(Debt_Amt1,BD$2),0),0)</f>
        <v>0</v>
      </c>
      <c r="BE192" s="123">
        <f t="array" ref="BE192">IFERROR(IF(BE$2&lt;&gt;BD$2,INDEX(Debt_Amt1,BE$2),0),0)</f>
        <v>0</v>
      </c>
      <c r="BF192" s="123">
        <f t="array" ref="BF192">IFERROR(IF(BF$2&lt;&gt;BE$2,INDEX(Debt_Amt1,BF$2),0),0)</f>
        <v>0</v>
      </c>
      <c r="BG192" s="123">
        <f t="array" ref="BG192">IFERROR(IF(BG$2&lt;&gt;BF$2,INDEX(Debt_Amt1,BG$2),0),0)</f>
        <v>0</v>
      </c>
      <c r="BH192" s="123">
        <f t="array" ref="BH192">IFERROR(IF(BH$2&lt;&gt;BG$2,INDEX(Debt_Amt1,BH$2),0),0)</f>
        <v>0</v>
      </c>
      <c r="BI192" s="123">
        <f t="array" ref="BI192">IFERROR(IF(BI$2&lt;&gt;BH$2,INDEX(Debt_Amt1,BI$2),0),0)</f>
        <v>0</v>
      </c>
      <c r="BJ192" s="123">
        <f t="array" ref="BJ192">IFERROR(IF(BJ$2&lt;&gt;BI$2,INDEX(Debt_Amt1,BJ$2),0),0)</f>
        <v>0</v>
      </c>
      <c r="BK192" s="123">
        <f t="array" ref="BK192">IFERROR(IF(BK$2&lt;&gt;BJ$2,INDEX(Debt_Amt1,BK$2),0),0)</f>
        <v>0</v>
      </c>
      <c r="BL192" s="123">
        <f t="array" ref="BL192">IFERROR(IF(BL$2&lt;&gt;BK$2,INDEX(Debt_Amt1,BL$2),0),0)</f>
        <v>0</v>
      </c>
      <c r="BM192" s="123">
        <f t="array" ref="BM192">IFERROR(IF(BM$2&lt;&gt;BL$2,INDEX(Debt_Amt1,BM$2),0),0)</f>
        <v>0</v>
      </c>
      <c r="BN192" s="123">
        <f t="array" ref="BN192">IFERROR(IF(BN$2&lt;&gt;BM$2,INDEX(Debt_Amt1,BN$2),0),0)</f>
        <v>0</v>
      </c>
      <c r="BO192" s="123">
        <f t="array" ref="BO192">IFERROR(IF(BO$2&lt;&gt;BN$2,INDEX(Debt_Amt1,BO$2),0),0)</f>
        <v>0</v>
      </c>
      <c r="BP192" s="123">
        <f t="array" ref="BP192">IFERROR(IF(BP$2&lt;&gt;BO$2,INDEX(Debt_Amt1,BP$2),0),0)</f>
        <v>0</v>
      </c>
      <c r="BQ192" s="123">
        <f t="array" ref="BQ192">IFERROR(IF(BQ$2&lt;&gt;BP$2,INDEX(Debt_Amt1,BQ$2),0),0)</f>
        <v>0</v>
      </c>
      <c r="BR192" s="123">
        <f t="array" ref="BR192">IFERROR(IF(BR$2&lt;&gt;BQ$2,INDEX(Debt_Amt1,BR$2),0),0)</f>
        <v>0</v>
      </c>
      <c r="BS192" s="92"/>
    </row>
    <row r="193" ht="13.5" customHeight="1">
      <c r="A193" s="80"/>
      <c r="B193" s="81" t="s">
        <v>359</v>
      </c>
      <c r="C193" s="119"/>
      <c r="D193" s="82"/>
      <c r="E193" s="123">
        <f t="shared" ref="E193:I193" si="182">SUMIF($K$2:$BR$2,E$1,$K193:$BR193)</f>
        <v>-19950</v>
      </c>
      <c r="F193" s="123">
        <f t="shared" si="182"/>
        <v>-19950</v>
      </c>
      <c r="G193" s="123">
        <f t="shared" si="182"/>
        <v>-19950</v>
      </c>
      <c r="H193" s="123">
        <f t="shared" si="182"/>
        <v>-19950</v>
      </c>
      <c r="I193" s="123">
        <f t="shared" si="182"/>
        <v>-19950</v>
      </c>
      <c r="J193" s="314"/>
      <c r="K193" s="123">
        <f>IF(K$1&lt;=Debt_Term1,-Debt_Amt1/Debt_Term1,0)</f>
        <v>-1662.5</v>
      </c>
      <c r="L193" s="123">
        <f>IF(L$1&lt;=Debt_Term1,-Debt_Amt1/Debt_Term1,0)</f>
        <v>-1662.5</v>
      </c>
      <c r="M193" s="123">
        <f>IF(M$1&lt;=Debt_Term1,-Debt_Amt1/Debt_Term1,0)</f>
        <v>-1662.5</v>
      </c>
      <c r="N193" s="123">
        <f>IF(N$1&lt;=Debt_Term1,-Debt_Amt1/Debt_Term1,0)</f>
        <v>-1662.5</v>
      </c>
      <c r="O193" s="123">
        <f>IF(O$1&lt;=Debt_Term1,-Debt_Amt1/Debt_Term1,0)</f>
        <v>-1662.5</v>
      </c>
      <c r="P193" s="123">
        <f>IF(P$1&lt;=Debt_Term1,-Debt_Amt1/Debt_Term1,0)</f>
        <v>-1662.5</v>
      </c>
      <c r="Q193" s="123">
        <f>IF(Q$1&lt;=Debt_Term1,-Debt_Amt1/Debt_Term1,0)</f>
        <v>-1662.5</v>
      </c>
      <c r="R193" s="123">
        <f>IF(R$1&lt;=Debt_Term1,-Debt_Amt1/Debt_Term1,0)</f>
        <v>-1662.5</v>
      </c>
      <c r="S193" s="123">
        <f>IF(S$1&lt;=Debt_Term1,-Debt_Amt1/Debt_Term1,0)</f>
        <v>-1662.5</v>
      </c>
      <c r="T193" s="123">
        <f>IF(T$1&lt;=Debt_Term1,-Debt_Amt1/Debt_Term1,0)</f>
        <v>-1662.5</v>
      </c>
      <c r="U193" s="123">
        <f>IF(U$1&lt;=Debt_Term1,-Debt_Amt1/Debt_Term1,0)</f>
        <v>-1662.5</v>
      </c>
      <c r="V193" s="123">
        <f>IF(V$1&lt;=Debt_Term1,-Debt_Amt1/Debt_Term1,0)</f>
        <v>-1662.5</v>
      </c>
      <c r="W193" s="123">
        <f>IF(W$1&lt;=Debt_Term1,-Debt_Amt1/Debt_Term1,0)</f>
        <v>-1662.5</v>
      </c>
      <c r="X193" s="123">
        <f>IF(X$1&lt;=Debt_Term1,-Debt_Amt1/Debt_Term1,0)</f>
        <v>-1662.5</v>
      </c>
      <c r="Y193" s="123">
        <f>IF(Y$1&lt;=Debt_Term1,-Debt_Amt1/Debt_Term1,0)</f>
        <v>-1662.5</v>
      </c>
      <c r="Z193" s="123">
        <f>IF(Z$1&lt;=Debt_Term1,-Debt_Amt1/Debt_Term1,0)</f>
        <v>-1662.5</v>
      </c>
      <c r="AA193" s="123">
        <f>IF(AA$1&lt;=Debt_Term1,-Debt_Amt1/Debt_Term1,0)</f>
        <v>-1662.5</v>
      </c>
      <c r="AB193" s="123">
        <f>IF(AB$1&lt;=Debt_Term1,-Debt_Amt1/Debt_Term1,0)</f>
        <v>-1662.5</v>
      </c>
      <c r="AC193" s="123">
        <f>IF(AC$1&lt;=Debt_Term1,-Debt_Amt1/Debt_Term1,0)</f>
        <v>-1662.5</v>
      </c>
      <c r="AD193" s="123">
        <f>IF(AD$1&lt;=Debt_Term1,-Debt_Amt1/Debt_Term1,0)</f>
        <v>-1662.5</v>
      </c>
      <c r="AE193" s="123">
        <f>IF(AE$1&lt;=Debt_Term1,-Debt_Amt1/Debt_Term1,0)</f>
        <v>-1662.5</v>
      </c>
      <c r="AF193" s="123">
        <f>IF(AF$1&lt;=Debt_Term1,-Debt_Amt1/Debt_Term1,0)</f>
        <v>-1662.5</v>
      </c>
      <c r="AG193" s="123">
        <f>IF(AG$1&lt;=Debt_Term1,-Debt_Amt1/Debt_Term1,0)</f>
        <v>-1662.5</v>
      </c>
      <c r="AH193" s="123">
        <f>IF(AH$1&lt;=Debt_Term1,-Debt_Amt1/Debt_Term1,0)</f>
        <v>-1662.5</v>
      </c>
      <c r="AI193" s="123">
        <f>IF(AI$1&lt;=Debt_Term1,-Debt_Amt1/Debt_Term1,0)</f>
        <v>-1662.5</v>
      </c>
      <c r="AJ193" s="123">
        <f>IF(AJ$1&lt;=Debt_Term1,-Debt_Amt1/Debt_Term1,0)</f>
        <v>-1662.5</v>
      </c>
      <c r="AK193" s="123">
        <f>IF(AK$1&lt;=Debt_Term1,-Debt_Amt1/Debt_Term1,0)</f>
        <v>-1662.5</v>
      </c>
      <c r="AL193" s="123">
        <f>IF(AL$1&lt;=Debt_Term1,-Debt_Amt1/Debt_Term1,0)</f>
        <v>-1662.5</v>
      </c>
      <c r="AM193" s="123">
        <f>IF(AM$1&lt;=Debt_Term1,-Debt_Amt1/Debt_Term1,0)</f>
        <v>-1662.5</v>
      </c>
      <c r="AN193" s="123">
        <f>IF(AN$1&lt;=Debt_Term1,-Debt_Amt1/Debt_Term1,0)</f>
        <v>-1662.5</v>
      </c>
      <c r="AO193" s="123">
        <f>IF(AO$1&lt;=Debt_Term1,-Debt_Amt1/Debt_Term1,0)</f>
        <v>-1662.5</v>
      </c>
      <c r="AP193" s="123">
        <f>IF(AP$1&lt;=Debt_Term1,-Debt_Amt1/Debt_Term1,0)</f>
        <v>-1662.5</v>
      </c>
      <c r="AQ193" s="123">
        <f>IF(AQ$1&lt;=Debt_Term1,-Debt_Amt1/Debt_Term1,0)</f>
        <v>-1662.5</v>
      </c>
      <c r="AR193" s="123">
        <f>IF(AR$1&lt;=Debt_Term1,-Debt_Amt1/Debt_Term1,0)</f>
        <v>-1662.5</v>
      </c>
      <c r="AS193" s="123">
        <f>IF(AS$1&lt;=Debt_Term1,-Debt_Amt1/Debt_Term1,0)</f>
        <v>-1662.5</v>
      </c>
      <c r="AT193" s="123">
        <f>IF(AT$1&lt;=Debt_Term1,-Debt_Amt1/Debt_Term1,0)</f>
        <v>-1662.5</v>
      </c>
      <c r="AU193" s="123">
        <f>IF(AU$1&lt;=Debt_Term1,-Debt_Amt1/Debt_Term1,0)</f>
        <v>-1662.5</v>
      </c>
      <c r="AV193" s="123">
        <f>IF(AV$1&lt;=Debt_Term1,-Debt_Amt1/Debt_Term1,0)</f>
        <v>-1662.5</v>
      </c>
      <c r="AW193" s="123">
        <f>IF(AW$1&lt;=Debt_Term1,-Debt_Amt1/Debt_Term1,0)</f>
        <v>-1662.5</v>
      </c>
      <c r="AX193" s="123">
        <f>IF(AX$1&lt;=Debt_Term1,-Debt_Amt1/Debt_Term1,0)</f>
        <v>-1662.5</v>
      </c>
      <c r="AY193" s="123">
        <f>IF(AY$1&lt;=Debt_Term1,-Debt_Amt1/Debt_Term1,0)</f>
        <v>-1662.5</v>
      </c>
      <c r="AZ193" s="123">
        <f>IF(AZ$1&lt;=Debt_Term1,-Debt_Amt1/Debt_Term1,0)</f>
        <v>-1662.5</v>
      </c>
      <c r="BA193" s="123">
        <f>IF(BA$1&lt;=Debt_Term1,-Debt_Amt1/Debt_Term1,0)</f>
        <v>-1662.5</v>
      </c>
      <c r="BB193" s="123">
        <f>IF(BB$1&lt;=Debt_Term1,-Debt_Amt1/Debt_Term1,0)</f>
        <v>-1662.5</v>
      </c>
      <c r="BC193" s="123">
        <f>IF(BC$1&lt;=Debt_Term1,-Debt_Amt1/Debt_Term1,0)</f>
        <v>-1662.5</v>
      </c>
      <c r="BD193" s="123">
        <f>IF(BD$1&lt;=Debt_Term1,-Debt_Amt1/Debt_Term1,0)</f>
        <v>-1662.5</v>
      </c>
      <c r="BE193" s="123">
        <f>IF(BE$1&lt;=Debt_Term1,-Debt_Amt1/Debt_Term1,0)</f>
        <v>-1662.5</v>
      </c>
      <c r="BF193" s="123">
        <f>IF(BF$1&lt;=Debt_Term1,-Debt_Amt1/Debt_Term1,0)</f>
        <v>-1662.5</v>
      </c>
      <c r="BG193" s="123">
        <f>IF(BG$1&lt;=Debt_Term1,-Debt_Amt1/Debt_Term1,0)</f>
        <v>-1662.5</v>
      </c>
      <c r="BH193" s="123">
        <f>IF(BH$1&lt;=Debt_Term1,-Debt_Amt1/Debt_Term1,0)</f>
        <v>-1662.5</v>
      </c>
      <c r="BI193" s="123">
        <f>IF(BI$1&lt;=Debt_Term1,-Debt_Amt1/Debt_Term1,0)</f>
        <v>-1662.5</v>
      </c>
      <c r="BJ193" s="123">
        <f>IF(BJ$1&lt;=Debt_Term1,-Debt_Amt1/Debt_Term1,0)</f>
        <v>-1662.5</v>
      </c>
      <c r="BK193" s="123">
        <f>IF(BK$1&lt;=Debt_Term1,-Debt_Amt1/Debt_Term1,0)</f>
        <v>-1662.5</v>
      </c>
      <c r="BL193" s="123">
        <f>IF(BL$1&lt;=Debt_Term1,-Debt_Amt1/Debt_Term1,0)</f>
        <v>-1662.5</v>
      </c>
      <c r="BM193" s="123">
        <f>IF(BM$1&lt;=Debt_Term1,-Debt_Amt1/Debt_Term1,0)</f>
        <v>-1662.5</v>
      </c>
      <c r="BN193" s="123">
        <f>IF(BN$1&lt;=Debt_Term1,-Debt_Amt1/Debt_Term1,0)</f>
        <v>-1662.5</v>
      </c>
      <c r="BO193" s="123">
        <f>IF(BO$1&lt;=Debt_Term1,-Debt_Amt1/Debt_Term1,0)</f>
        <v>-1662.5</v>
      </c>
      <c r="BP193" s="123">
        <f>IF(BP$1&lt;=Debt_Term1,-Debt_Amt1/Debt_Term1,0)</f>
        <v>-1662.5</v>
      </c>
      <c r="BQ193" s="123">
        <f>IF(BQ$1&lt;=Debt_Term1,-Debt_Amt1/Debt_Term1,0)</f>
        <v>-1662.5</v>
      </c>
      <c r="BR193" s="123">
        <f>IF(BR$1&lt;=Debt_Term1,-Debt_Amt1/Debt_Term1,0)</f>
        <v>-1662.5</v>
      </c>
      <c r="BS193" s="92"/>
    </row>
    <row r="194" ht="15.75" customHeight="1">
      <c r="A194" s="80"/>
      <c r="B194" s="98" t="s">
        <v>140</v>
      </c>
      <c r="C194" s="98"/>
      <c r="D194" s="99"/>
      <c r="E194" s="300">
        <f t="shared" ref="E194:I194" si="183">INDEX($K194:$BR194,,MATCH(E$1,$K$2:$BR$2,0)+11)</f>
        <v>219450</v>
      </c>
      <c r="F194" s="300">
        <f t="shared" si="183"/>
        <v>199500</v>
      </c>
      <c r="G194" s="300">
        <f t="shared" si="183"/>
        <v>179550</v>
      </c>
      <c r="H194" s="300">
        <f t="shared" si="183"/>
        <v>159600</v>
      </c>
      <c r="I194" s="300">
        <f t="shared" si="183"/>
        <v>139650</v>
      </c>
      <c r="J194" s="92"/>
      <c r="K194" s="300">
        <f t="shared" ref="K194:BR194" si="184">SUM(K191:K193)</f>
        <v>237737.5</v>
      </c>
      <c r="L194" s="300">
        <f t="shared" si="184"/>
        <v>236075</v>
      </c>
      <c r="M194" s="300">
        <f t="shared" si="184"/>
        <v>234412.5</v>
      </c>
      <c r="N194" s="300">
        <f t="shared" si="184"/>
        <v>232750</v>
      </c>
      <c r="O194" s="300">
        <f t="shared" si="184"/>
        <v>231087.5</v>
      </c>
      <c r="P194" s="300">
        <f t="shared" si="184"/>
        <v>229425</v>
      </c>
      <c r="Q194" s="300">
        <f t="shared" si="184"/>
        <v>227762.5</v>
      </c>
      <c r="R194" s="300">
        <f t="shared" si="184"/>
        <v>226100</v>
      </c>
      <c r="S194" s="300">
        <f t="shared" si="184"/>
        <v>224437.5</v>
      </c>
      <c r="T194" s="300">
        <f t="shared" si="184"/>
        <v>222775</v>
      </c>
      <c r="U194" s="300">
        <f t="shared" si="184"/>
        <v>221112.5</v>
      </c>
      <c r="V194" s="300">
        <f t="shared" si="184"/>
        <v>219450</v>
      </c>
      <c r="W194" s="300">
        <f t="shared" si="184"/>
        <v>217787.5</v>
      </c>
      <c r="X194" s="300">
        <f t="shared" si="184"/>
        <v>216125</v>
      </c>
      <c r="Y194" s="300">
        <f t="shared" si="184"/>
        <v>214462.5</v>
      </c>
      <c r="Z194" s="300">
        <f t="shared" si="184"/>
        <v>212800</v>
      </c>
      <c r="AA194" s="300">
        <f t="shared" si="184"/>
        <v>211137.5</v>
      </c>
      <c r="AB194" s="300">
        <f t="shared" si="184"/>
        <v>209475</v>
      </c>
      <c r="AC194" s="300">
        <f t="shared" si="184"/>
        <v>207812.5</v>
      </c>
      <c r="AD194" s="300">
        <f t="shared" si="184"/>
        <v>206150</v>
      </c>
      <c r="AE194" s="300">
        <f t="shared" si="184"/>
        <v>204487.5</v>
      </c>
      <c r="AF194" s="300">
        <f t="shared" si="184"/>
        <v>202825</v>
      </c>
      <c r="AG194" s="300">
        <f t="shared" si="184"/>
        <v>201162.5</v>
      </c>
      <c r="AH194" s="300">
        <f t="shared" si="184"/>
        <v>199500</v>
      </c>
      <c r="AI194" s="300">
        <f t="shared" si="184"/>
        <v>197837.5</v>
      </c>
      <c r="AJ194" s="300">
        <f t="shared" si="184"/>
        <v>196175</v>
      </c>
      <c r="AK194" s="300">
        <f t="shared" si="184"/>
        <v>194512.5</v>
      </c>
      <c r="AL194" s="300">
        <f t="shared" si="184"/>
        <v>192850</v>
      </c>
      <c r="AM194" s="300">
        <f t="shared" si="184"/>
        <v>191187.5</v>
      </c>
      <c r="AN194" s="300">
        <f t="shared" si="184"/>
        <v>189525</v>
      </c>
      <c r="AO194" s="300">
        <f t="shared" si="184"/>
        <v>187862.5</v>
      </c>
      <c r="AP194" s="300">
        <f t="shared" si="184"/>
        <v>186200</v>
      </c>
      <c r="AQ194" s="300">
        <f t="shared" si="184"/>
        <v>184537.5</v>
      </c>
      <c r="AR194" s="300">
        <f t="shared" si="184"/>
        <v>182875</v>
      </c>
      <c r="AS194" s="300">
        <f t="shared" si="184"/>
        <v>181212.5</v>
      </c>
      <c r="AT194" s="300">
        <f t="shared" si="184"/>
        <v>179550</v>
      </c>
      <c r="AU194" s="300">
        <f t="shared" si="184"/>
        <v>177887.5</v>
      </c>
      <c r="AV194" s="300">
        <f t="shared" si="184"/>
        <v>176225</v>
      </c>
      <c r="AW194" s="300">
        <f t="shared" si="184"/>
        <v>174562.5</v>
      </c>
      <c r="AX194" s="300">
        <f t="shared" si="184"/>
        <v>172900</v>
      </c>
      <c r="AY194" s="300">
        <f t="shared" si="184"/>
        <v>171237.5</v>
      </c>
      <c r="AZ194" s="300">
        <f t="shared" si="184"/>
        <v>169575</v>
      </c>
      <c r="BA194" s="300">
        <f t="shared" si="184"/>
        <v>167912.5</v>
      </c>
      <c r="BB194" s="300">
        <f t="shared" si="184"/>
        <v>166250</v>
      </c>
      <c r="BC194" s="300">
        <f t="shared" si="184"/>
        <v>164587.5</v>
      </c>
      <c r="BD194" s="300">
        <f t="shared" si="184"/>
        <v>162925</v>
      </c>
      <c r="BE194" s="300">
        <f t="shared" si="184"/>
        <v>161262.5</v>
      </c>
      <c r="BF194" s="300">
        <f t="shared" si="184"/>
        <v>159600</v>
      </c>
      <c r="BG194" s="300">
        <f t="shared" si="184"/>
        <v>157937.5</v>
      </c>
      <c r="BH194" s="300">
        <f t="shared" si="184"/>
        <v>156275</v>
      </c>
      <c r="BI194" s="300">
        <f t="shared" si="184"/>
        <v>154612.5</v>
      </c>
      <c r="BJ194" s="300">
        <f t="shared" si="184"/>
        <v>152950</v>
      </c>
      <c r="BK194" s="300">
        <f t="shared" si="184"/>
        <v>151287.5</v>
      </c>
      <c r="BL194" s="300">
        <f t="shared" si="184"/>
        <v>149625</v>
      </c>
      <c r="BM194" s="300">
        <f t="shared" si="184"/>
        <v>147962.5</v>
      </c>
      <c r="BN194" s="300">
        <f t="shared" si="184"/>
        <v>146300</v>
      </c>
      <c r="BO194" s="300">
        <f t="shared" si="184"/>
        <v>144637.5</v>
      </c>
      <c r="BP194" s="300">
        <f t="shared" si="184"/>
        <v>142975</v>
      </c>
      <c r="BQ194" s="300">
        <f t="shared" si="184"/>
        <v>141312.5</v>
      </c>
      <c r="BR194" s="300">
        <f t="shared" si="184"/>
        <v>139650</v>
      </c>
      <c r="BS194" s="75"/>
    </row>
    <row r="195" ht="7.5" customHeight="1">
      <c r="A195" s="80"/>
      <c r="B195" s="75"/>
      <c r="C195" s="81"/>
      <c r="D195" s="82"/>
      <c r="E195" s="322"/>
      <c r="F195" s="322"/>
      <c r="G195" s="322"/>
      <c r="H195" s="322"/>
      <c r="I195" s="322"/>
      <c r="J195" s="82"/>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c r="AJ195" s="286"/>
      <c r="AK195" s="286"/>
      <c r="AL195" s="286"/>
      <c r="AM195" s="286"/>
      <c r="AN195" s="286"/>
      <c r="AO195" s="286"/>
      <c r="AP195" s="286"/>
      <c r="AQ195" s="286"/>
      <c r="AR195" s="286"/>
      <c r="AS195" s="286"/>
      <c r="AT195" s="286"/>
      <c r="AU195" s="286"/>
      <c r="AV195" s="286"/>
      <c r="AW195" s="286"/>
      <c r="AX195" s="286"/>
      <c r="AY195" s="286"/>
      <c r="AZ195" s="286"/>
      <c r="BA195" s="286"/>
      <c r="BB195" s="286"/>
      <c r="BC195" s="286"/>
      <c r="BD195" s="286"/>
      <c r="BE195" s="286"/>
      <c r="BF195" s="286"/>
      <c r="BG195" s="286"/>
      <c r="BH195" s="286"/>
      <c r="BI195" s="286"/>
      <c r="BJ195" s="286"/>
      <c r="BK195" s="286"/>
      <c r="BL195" s="286"/>
      <c r="BM195" s="286"/>
      <c r="BN195" s="286"/>
      <c r="BO195" s="286"/>
      <c r="BP195" s="286"/>
      <c r="BQ195" s="286"/>
      <c r="BR195" s="286"/>
      <c r="BS195" s="82"/>
    </row>
    <row r="196" ht="15.75" customHeight="1">
      <c r="A196" s="80"/>
      <c r="B196" s="298" t="s">
        <v>360</v>
      </c>
      <c r="C196" s="131"/>
      <c r="D196" s="102"/>
      <c r="E196" s="132">
        <f t="shared" ref="E196:I196" si="185">SUMIF($K$2:$BR$2,E$1,$K196:$BR196)</f>
        <v>-24089.625</v>
      </c>
      <c r="F196" s="132">
        <f t="shared" si="185"/>
        <v>-21994.875</v>
      </c>
      <c r="G196" s="132">
        <f t="shared" si="185"/>
        <v>-19900.125</v>
      </c>
      <c r="H196" s="132">
        <f t="shared" si="185"/>
        <v>-17805.375</v>
      </c>
      <c r="I196" s="132">
        <f t="shared" si="185"/>
        <v>-15710.625</v>
      </c>
      <c r="J196" s="92"/>
      <c r="K196" s="132">
        <f>-AVERAGE(K$192,K$194)*Debt_Rate1/12</f>
        <v>-2087.476563</v>
      </c>
      <c r="L196" s="132">
        <f>-AVERAGE(L$191,L$194)*Debt_Rate1/12</f>
        <v>-2072.929688</v>
      </c>
      <c r="M196" s="132">
        <f>-AVERAGE(M$191,M$194)*Debt_Rate1/12</f>
        <v>-2058.382813</v>
      </c>
      <c r="N196" s="132">
        <f>-AVERAGE(N$191,N$194)*Debt_Rate1/12</f>
        <v>-2043.835938</v>
      </c>
      <c r="O196" s="132">
        <f>-AVERAGE(O$191,O$194)*Debt_Rate1/12</f>
        <v>-2029.289063</v>
      </c>
      <c r="P196" s="132">
        <f>-AVERAGE(P$191,P$194)*Debt_Rate1/12</f>
        <v>-2014.742188</v>
      </c>
      <c r="Q196" s="132">
        <f>-AVERAGE(Q$191,Q$194)*Debt_Rate1/12</f>
        <v>-2000.195313</v>
      </c>
      <c r="R196" s="132">
        <f>-AVERAGE(R$191,R$194)*Debt_Rate1/12</f>
        <v>-1985.648438</v>
      </c>
      <c r="S196" s="132">
        <f>-AVERAGE(S$191,S$194)*Debt_Rate1/12</f>
        <v>-1971.101563</v>
      </c>
      <c r="T196" s="132">
        <f>-AVERAGE(T$191,T$194)*Debt_Rate1/12</f>
        <v>-1956.554688</v>
      </c>
      <c r="U196" s="132">
        <f>-AVERAGE(U$191,U$194)*Debt_Rate1/12</f>
        <v>-1942.007813</v>
      </c>
      <c r="V196" s="132">
        <f>-AVERAGE(V$191,V$194)*Debt_Rate1/12</f>
        <v>-1927.460938</v>
      </c>
      <c r="W196" s="132">
        <f>-AVERAGE(W$191,W$194)*Debt_Rate1/12</f>
        <v>-1912.914063</v>
      </c>
      <c r="X196" s="132">
        <f>-AVERAGE(X$191,X$194)*Debt_Rate1/12</f>
        <v>-1898.367188</v>
      </c>
      <c r="Y196" s="132">
        <f>-AVERAGE(Y$191,Y$194)*Debt_Rate1/12</f>
        <v>-1883.820313</v>
      </c>
      <c r="Z196" s="132">
        <f>-AVERAGE(Z$191,Z$194)*Debt_Rate1/12</f>
        <v>-1869.273438</v>
      </c>
      <c r="AA196" s="132">
        <f>-AVERAGE(AA$191,AA$194)*Debt_Rate1/12</f>
        <v>-1854.726563</v>
      </c>
      <c r="AB196" s="132">
        <f>-AVERAGE(AB$191,AB$194)*Debt_Rate1/12</f>
        <v>-1840.179688</v>
      </c>
      <c r="AC196" s="132">
        <f>-AVERAGE(AC$191,AC$194)*Debt_Rate1/12</f>
        <v>-1825.632813</v>
      </c>
      <c r="AD196" s="132">
        <f>-AVERAGE(AD$191,AD$194)*Debt_Rate1/12</f>
        <v>-1811.085938</v>
      </c>
      <c r="AE196" s="132">
        <f>-AVERAGE(AE$191,AE$194)*Debt_Rate1/12</f>
        <v>-1796.539063</v>
      </c>
      <c r="AF196" s="132">
        <f>-AVERAGE(AF$191,AF$194)*Debt_Rate1/12</f>
        <v>-1781.992188</v>
      </c>
      <c r="AG196" s="132">
        <f>-AVERAGE(AG$191,AG$194)*Debt_Rate1/12</f>
        <v>-1767.445313</v>
      </c>
      <c r="AH196" s="132">
        <f>-AVERAGE(AH$191,AH$194)*Debt_Rate1/12</f>
        <v>-1752.898438</v>
      </c>
      <c r="AI196" s="132">
        <f>-AVERAGE(AI$191,AI$194)*Debt_Rate1/12</f>
        <v>-1738.351563</v>
      </c>
      <c r="AJ196" s="132">
        <f>-AVERAGE(AJ$191,AJ$194)*Debt_Rate1/12</f>
        <v>-1723.804688</v>
      </c>
      <c r="AK196" s="132">
        <f>-AVERAGE(AK$191,AK$194)*Debt_Rate1/12</f>
        <v>-1709.257813</v>
      </c>
      <c r="AL196" s="132">
        <f>-AVERAGE(AL$191,AL$194)*Debt_Rate1/12</f>
        <v>-1694.710938</v>
      </c>
      <c r="AM196" s="132">
        <f>-AVERAGE(AM$191,AM$194)*Debt_Rate1/12</f>
        <v>-1680.164063</v>
      </c>
      <c r="AN196" s="132">
        <f>-AVERAGE(AN$191,AN$194)*Debt_Rate1/12</f>
        <v>-1665.617188</v>
      </c>
      <c r="AO196" s="132">
        <f>-AVERAGE(AO$191,AO$194)*Debt_Rate1/12</f>
        <v>-1651.070313</v>
      </c>
      <c r="AP196" s="132">
        <f>-AVERAGE(AP$191,AP$194)*Debt_Rate1/12</f>
        <v>-1636.523438</v>
      </c>
      <c r="AQ196" s="132">
        <f>-AVERAGE(AQ$191,AQ$194)*Debt_Rate1/12</f>
        <v>-1621.976563</v>
      </c>
      <c r="AR196" s="132">
        <f>-AVERAGE(AR$191,AR$194)*Debt_Rate1/12</f>
        <v>-1607.429688</v>
      </c>
      <c r="AS196" s="132">
        <f>-AVERAGE(AS$191,AS$194)*Debt_Rate1/12</f>
        <v>-1592.882813</v>
      </c>
      <c r="AT196" s="132">
        <f>-AVERAGE(AT$191,AT$194)*Debt_Rate1/12</f>
        <v>-1578.335938</v>
      </c>
      <c r="AU196" s="132">
        <f>-AVERAGE(AU$191,AU$194)*Debt_Rate1/12</f>
        <v>-1563.789063</v>
      </c>
      <c r="AV196" s="132">
        <f>-AVERAGE(AV$191,AV$194)*Debt_Rate1/12</f>
        <v>-1549.242188</v>
      </c>
      <c r="AW196" s="132">
        <f>-AVERAGE(AW$191,AW$194)*Debt_Rate1/12</f>
        <v>-1534.695313</v>
      </c>
      <c r="AX196" s="132">
        <f>-AVERAGE(AX$191,AX$194)*Debt_Rate1/12</f>
        <v>-1520.148438</v>
      </c>
      <c r="AY196" s="132">
        <f>-AVERAGE(AY$191,AY$194)*Debt_Rate1/12</f>
        <v>-1505.601563</v>
      </c>
      <c r="AZ196" s="132">
        <f>-AVERAGE(AZ$191,AZ$194)*Debt_Rate1/12</f>
        <v>-1491.054688</v>
      </c>
      <c r="BA196" s="132">
        <f>-AVERAGE(BA$191,BA$194)*Debt_Rate1/12</f>
        <v>-1476.507813</v>
      </c>
      <c r="BB196" s="132">
        <f>-AVERAGE(BB$191,BB$194)*Debt_Rate1/12</f>
        <v>-1461.960938</v>
      </c>
      <c r="BC196" s="132">
        <f>-AVERAGE(BC$191,BC$194)*Debt_Rate1/12</f>
        <v>-1447.414063</v>
      </c>
      <c r="BD196" s="132">
        <f>-AVERAGE(BD$191,BD$194)*Debt_Rate1/12</f>
        <v>-1432.867188</v>
      </c>
      <c r="BE196" s="132">
        <f>-AVERAGE(BE$191,BE$194)*Debt_Rate1/12</f>
        <v>-1418.320313</v>
      </c>
      <c r="BF196" s="132">
        <f>-AVERAGE(BF$191,BF$194)*Debt_Rate1/12</f>
        <v>-1403.773438</v>
      </c>
      <c r="BG196" s="132">
        <f>-AVERAGE(BG$191,BG$194)*Debt_Rate1/12</f>
        <v>-1389.226563</v>
      </c>
      <c r="BH196" s="132">
        <f>-AVERAGE(BH$191,BH$194)*Debt_Rate1/12</f>
        <v>-1374.679688</v>
      </c>
      <c r="BI196" s="132">
        <f>-AVERAGE(BI$191,BI$194)*Debt_Rate1/12</f>
        <v>-1360.132813</v>
      </c>
      <c r="BJ196" s="132">
        <f>-AVERAGE(BJ$191,BJ$194)*Debt_Rate1/12</f>
        <v>-1345.585938</v>
      </c>
      <c r="BK196" s="132">
        <f>-AVERAGE(BK$191,BK$194)*Debt_Rate1/12</f>
        <v>-1331.039063</v>
      </c>
      <c r="BL196" s="132">
        <f>-AVERAGE(BL$191,BL$194)*Debt_Rate1/12</f>
        <v>-1316.492188</v>
      </c>
      <c r="BM196" s="132">
        <f>-AVERAGE(BM$191,BM$194)*Debt_Rate1/12</f>
        <v>-1301.945313</v>
      </c>
      <c r="BN196" s="132">
        <f>-AVERAGE(BN$191,BN$194)*Debt_Rate1/12</f>
        <v>-1287.398438</v>
      </c>
      <c r="BO196" s="132">
        <f>-AVERAGE(BO$191,BO$194)*Debt_Rate1/12</f>
        <v>-1272.851563</v>
      </c>
      <c r="BP196" s="132">
        <f>-AVERAGE(BP$191,BP$194)*Debt_Rate1/12</f>
        <v>-1258.304688</v>
      </c>
      <c r="BQ196" s="132">
        <f>-AVERAGE(BQ$191,BQ$194)*Debt_Rate1/12</f>
        <v>-1243.757813</v>
      </c>
      <c r="BR196" s="132">
        <f>-AVERAGE(BR$191,BR$194)*Debt_Rate1/12</f>
        <v>-1229.210938</v>
      </c>
      <c r="BS196" s="75"/>
    </row>
    <row r="197" ht="15.75" customHeight="1">
      <c r="A197" s="106"/>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c r="BK197" s="75"/>
      <c r="BL197" s="75"/>
      <c r="BM197" s="75"/>
      <c r="BN197" s="75"/>
      <c r="BO197" s="75"/>
      <c r="BP197" s="75"/>
      <c r="BQ197" s="75"/>
      <c r="BR197" s="75"/>
      <c r="BS197" s="75"/>
    </row>
    <row r="198" ht="15.75" customHeight="1">
      <c r="A198" s="80"/>
      <c r="B198" s="298" t="s">
        <v>361</v>
      </c>
      <c r="C198" s="131"/>
      <c r="D198" s="102"/>
      <c r="E198" s="132" t="str">
        <f t="shared" ref="E198:I198" si="186">INDEX($K198:$BR198,,MATCH(E$1,$K$2:$BR$2,0))</f>
        <v/>
      </c>
      <c r="F198" s="132">
        <f t="shared" si="186"/>
        <v>0</v>
      </c>
      <c r="G198" s="132">
        <f t="shared" si="186"/>
        <v>0</v>
      </c>
      <c r="H198" s="132">
        <f t="shared" si="186"/>
        <v>0</v>
      </c>
      <c r="I198" s="132">
        <f t="shared" si="186"/>
        <v>0</v>
      </c>
      <c r="J198" s="92"/>
      <c r="K198" s="132" t="str">
        <f t="shared" ref="K198:BR198" si="187">J201</f>
        <v/>
      </c>
      <c r="L198" s="132">
        <f t="shared" si="187"/>
        <v>0</v>
      </c>
      <c r="M198" s="132">
        <f t="shared" si="187"/>
        <v>0</v>
      </c>
      <c r="N198" s="132">
        <f t="shared" si="187"/>
        <v>0</v>
      </c>
      <c r="O198" s="132">
        <f t="shared" si="187"/>
        <v>0</v>
      </c>
      <c r="P198" s="132">
        <f t="shared" si="187"/>
        <v>0</v>
      </c>
      <c r="Q198" s="132">
        <f t="shared" si="187"/>
        <v>0</v>
      </c>
      <c r="R198" s="132">
        <f t="shared" si="187"/>
        <v>0</v>
      </c>
      <c r="S198" s="132">
        <f t="shared" si="187"/>
        <v>0</v>
      </c>
      <c r="T198" s="132">
        <f t="shared" si="187"/>
        <v>0</v>
      </c>
      <c r="U198" s="132">
        <f t="shared" si="187"/>
        <v>0</v>
      </c>
      <c r="V198" s="132">
        <f t="shared" si="187"/>
        <v>0</v>
      </c>
      <c r="W198" s="132">
        <f t="shared" si="187"/>
        <v>0</v>
      </c>
      <c r="X198" s="132">
        <f t="shared" si="187"/>
        <v>0</v>
      </c>
      <c r="Y198" s="132">
        <f t="shared" si="187"/>
        <v>0</v>
      </c>
      <c r="Z198" s="132">
        <f t="shared" si="187"/>
        <v>0</v>
      </c>
      <c r="AA198" s="132">
        <f t="shared" si="187"/>
        <v>0</v>
      </c>
      <c r="AB198" s="132">
        <f t="shared" si="187"/>
        <v>0</v>
      </c>
      <c r="AC198" s="132">
        <f t="shared" si="187"/>
        <v>0</v>
      </c>
      <c r="AD198" s="132">
        <f t="shared" si="187"/>
        <v>0</v>
      </c>
      <c r="AE198" s="132">
        <f t="shared" si="187"/>
        <v>0</v>
      </c>
      <c r="AF198" s="132">
        <f t="shared" si="187"/>
        <v>0</v>
      </c>
      <c r="AG198" s="132">
        <f t="shared" si="187"/>
        <v>0</v>
      </c>
      <c r="AH198" s="132">
        <f t="shared" si="187"/>
        <v>0</v>
      </c>
      <c r="AI198" s="132">
        <f t="shared" si="187"/>
        <v>0</v>
      </c>
      <c r="AJ198" s="132">
        <f t="shared" si="187"/>
        <v>0</v>
      </c>
      <c r="AK198" s="132">
        <f t="shared" si="187"/>
        <v>0</v>
      </c>
      <c r="AL198" s="132">
        <f t="shared" si="187"/>
        <v>0</v>
      </c>
      <c r="AM198" s="132">
        <f t="shared" si="187"/>
        <v>0</v>
      </c>
      <c r="AN198" s="132">
        <f t="shared" si="187"/>
        <v>0</v>
      </c>
      <c r="AO198" s="132">
        <f t="shared" si="187"/>
        <v>0</v>
      </c>
      <c r="AP198" s="132">
        <f t="shared" si="187"/>
        <v>0</v>
      </c>
      <c r="AQ198" s="132">
        <f t="shared" si="187"/>
        <v>0</v>
      </c>
      <c r="AR198" s="132">
        <f t="shared" si="187"/>
        <v>0</v>
      </c>
      <c r="AS198" s="132">
        <f t="shared" si="187"/>
        <v>0</v>
      </c>
      <c r="AT198" s="132">
        <f t="shared" si="187"/>
        <v>0</v>
      </c>
      <c r="AU198" s="132">
        <f t="shared" si="187"/>
        <v>0</v>
      </c>
      <c r="AV198" s="132">
        <f t="shared" si="187"/>
        <v>0</v>
      </c>
      <c r="AW198" s="132">
        <f t="shared" si="187"/>
        <v>0</v>
      </c>
      <c r="AX198" s="132">
        <f t="shared" si="187"/>
        <v>0</v>
      </c>
      <c r="AY198" s="132">
        <f t="shared" si="187"/>
        <v>0</v>
      </c>
      <c r="AZ198" s="132">
        <f t="shared" si="187"/>
        <v>0</v>
      </c>
      <c r="BA198" s="132">
        <f t="shared" si="187"/>
        <v>0</v>
      </c>
      <c r="BB198" s="132">
        <f t="shared" si="187"/>
        <v>0</v>
      </c>
      <c r="BC198" s="132">
        <f t="shared" si="187"/>
        <v>0</v>
      </c>
      <c r="BD198" s="132">
        <f t="shared" si="187"/>
        <v>0</v>
      </c>
      <c r="BE198" s="132">
        <f t="shared" si="187"/>
        <v>0</v>
      </c>
      <c r="BF198" s="132">
        <f t="shared" si="187"/>
        <v>0</v>
      </c>
      <c r="BG198" s="132">
        <f t="shared" si="187"/>
        <v>0</v>
      </c>
      <c r="BH198" s="132">
        <f t="shared" si="187"/>
        <v>0</v>
      </c>
      <c r="BI198" s="132">
        <f t="shared" si="187"/>
        <v>0</v>
      </c>
      <c r="BJ198" s="132">
        <f t="shared" si="187"/>
        <v>0</v>
      </c>
      <c r="BK198" s="132">
        <f t="shared" si="187"/>
        <v>0</v>
      </c>
      <c r="BL198" s="132">
        <f t="shared" si="187"/>
        <v>0</v>
      </c>
      <c r="BM198" s="132">
        <f t="shared" si="187"/>
        <v>0</v>
      </c>
      <c r="BN198" s="132">
        <f t="shared" si="187"/>
        <v>0</v>
      </c>
      <c r="BO198" s="132">
        <f t="shared" si="187"/>
        <v>0</v>
      </c>
      <c r="BP198" s="132">
        <f t="shared" si="187"/>
        <v>0</v>
      </c>
      <c r="BQ198" s="132">
        <f t="shared" si="187"/>
        <v>0</v>
      </c>
      <c r="BR198" s="132">
        <f t="shared" si="187"/>
        <v>0</v>
      </c>
      <c r="BS198" s="75"/>
    </row>
    <row r="199" ht="13.5" customHeight="1">
      <c r="A199" s="80"/>
      <c r="B199" s="81" t="s">
        <v>358</v>
      </c>
      <c r="C199" s="119"/>
      <c r="D199" s="92"/>
      <c r="E199" s="123">
        <f t="shared" ref="E199:I199" si="188">SUMIF($K$2:$BR$2,E$1,$L199:$BR199)</f>
        <v>0</v>
      </c>
      <c r="F199" s="123">
        <f t="shared" si="188"/>
        <v>0</v>
      </c>
      <c r="G199" s="123">
        <f t="shared" si="188"/>
        <v>0</v>
      </c>
      <c r="H199" s="123">
        <f t="shared" si="188"/>
        <v>0</v>
      </c>
      <c r="I199" s="123">
        <f t="shared" si="188"/>
        <v>0</v>
      </c>
      <c r="J199" s="314"/>
      <c r="K199" s="123"/>
      <c r="L199" s="123"/>
      <c r="M199" s="123"/>
      <c r="N199" s="123"/>
      <c r="O199" s="123"/>
      <c r="P199" s="123"/>
      <c r="Q199" s="123"/>
      <c r="R199" s="123"/>
      <c r="S199" s="123"/>
      <c r="T199" s="123"/>
      <c r="U199" s="123"/>
      <c r="V199" s="123"/>
      <c r="W199" s="123" t="str">
        <f t="array" ref="W199">IFERROR(IF(K$2&lt;&gt;J$2,INDEX(Debt_Amt2,K$2),0),0)</f>
        <v/>
      </c>
      <c r="X199" s="123">
        <f t="array" ref="X199">IFERROR(IF(L$2&lt;&gt;K$2,INDEX(Debt_Amt2,L$2),0),0)</f>
        <v>0</v>
      </c>
      <c r="Y199" s="123">
        <f t="array" ref="Y199">IFERROR(IF(M$2&lt;&gt;L$2,INDEX(Debt_Amt2,M$2),0),0)</f>
        <v>0</v>
      </c>
      <c r="Z199" s="123">
        <f t="array" ref="Z199">IFERROR(IF(N$2&lt;&gt;M$2,INDEX(Debt_Amt2,N$2),0),0)</f>
        <v>0</v>
      </c>
      <c r="AA199" s="123">
        <f t="array" ref="AA199">IFERROR(IF(O$2&lt;&gt;N$2,INDEX(Debt_Amt2,O$2),0),0)</f>
        <v>0</v>
      </c>
      <c r="AB199" s="123">
        <f t="array" ref="AB199">IFERROR(IF(P$2&lt;&gt;O$2,INDEX(Debt_Amt2,P$2),0),0)</f>
        <v>0</v>
      </c>
      <c r="AC199" s="123">
        <f t="array" ref="AC199">IFERROR(IF(Q$2&lt;&gt;P$2,INDEX(Debt_Amt2,Q$2),0),0)</f>
        <v>0</v>
      </c>
      <c r="AD199" s="123">
        <f t="array" ref="AD199">IFERROR(IF(R$2&lt;&gt;Q$2,INDEX(Debt_Amt2,R$2),0),0)</f>
        <v>0</v>
      </c>
      <c r="AE199" s="123">
        <f t="array" ref="AE199">IFERROR(IF(S$2&lt;&gt;R$2,INDEX(Debt_Amt2,S$2),0),0)</f>
        <v>0</v>
      </c>
      <c r="AF199" s="123">
        <f t="array" ref="AF199">IFERROR(IF(T$2&lt;&gt;S$2,INDEX(Debt_Amt2,T$2),0),0)</f>
        <v>0</v>
      </c>
      <c r="AG199" s="123">
        <f t="array" ref="AG199">IFERROR(IF(U$2&lt;&gt;T$2,INDEX(Debt_Amt2,U$2),0),0)</f>
        <v>0</v>
      </c>
      <c r="AH199" s="123">
        <f t="array" ref="AH199">IFERROR(IF(V$2&lt;&gt;U$2,INDEX(Debt_Amt2,V$2),0),0)</f>
        <v>0</v>
      </c>
      <c r="AI199" s="123">
        <f t="array" ref="AI199">IFERROR(IF(W$2&lt;&gt;V$2,INDEX(Debt_Amt2,W$2),0),0)</f>
        <v>0</v>
      </c>
      <c r="AJ199" s="123">
        <f t="array" ref="AJ199">IFERROR(IF(X$2&lt;&gt;W$2,INDEX(Debt_Amt2,X$2),0),0)</f>
        <v>0</v>
      </c>
      <c r="AK199" s="123">
        <f t="array" ref="AK199">IFERROR(IF(Y$2&lt;&gt;X$2,INDEX(Debt_Amt2,Y$2),0),0)</f>
        <v>0</v>
      </c>
      <c r="AL199" s="123">
        <f t="array" ref="AL199">IFERROR(IF(Z$2&lt;&gt;Y$2,INDEX(Debt_Amt2,Z$2),0),0)</f>
        <v>0</v>
      </c>
      <c r="AM199" s="123">
        <f t="array" ref="AM199">IFERROR(IF(AA$2&lt;&gt;Z$2,INDEX(Debt_Amt2,AA$2),0),0)</f>
        <v>0</v>
      </c>
      <c r="AN199" s="123">
        <f t="array" ref="AN199">IFERROR(IF(AB$2&lt;&gt;AA$2,INDEX(Debt_Amt2,AB$2),0),0)</f>
        <v>0</v>
      </c>
      <c r="AO199" s="123">
        <f t="array" ref="AO199">IFERROR(IF(AC$2&lt;&gt;AB$2,INDEX(Debt_Amt2,AC$2),0),0)</f>
        <v>0</v>
      </c>
      <c r="AP199" s="123">
        <f t="array" ref="AP199">IFERROR(IF(AD$2&lt;&gt;AC$2,INDEX(Debt_Amt2,AD$2),0),0)</f>
        <v>0</v>
      </c>
      <c r="AQ199" s="123">
        <f t="array" ref="AQ199">IFERROR(IF(AE$2&lt;&gt;AD$2,INDEX(Debt_Amt2,AE$2),0),0)</f>
        <v>0</v>
      </c>
      <c r="AR199" s="123">
        <f t="array" ref="AR199">IFERROR(IF(AF$2&lt;&gt;AE$2,INDEX(Debt_Amt2,AF$2),0),0)</f>
        <v>0</v>
      </c>
      <c r="AS199" s="123">
        <f t="array" ref="AS199">IFERROR(IF(AG$2&lt;&gt;AF$2,INDEX(Debt_Amt2,AG$2),0),0)</f>
        <v>0</v>
      </c>
      <c r="AT199" s="123">
        <f t="array" ref="AT199">IFERROR(IF(AH$2&lt;&gt;AG$2,INDEX(Debt_Amt2,AH$2),0),0)</f>
        <v>0</v>
      </c>
      <c r="AU199" s="123">
        <f t="array" ref="AU199">IFERROR(IF(AI$2&lt;&gt;AH$2,INDEX(Debt_Amt2,AI$2),0),0)</f>
        <v>0</v>
      </c>
      <c r="AV199" s="123">
        <f t="array" ref="AV199">IFERROR(IF(AJ$2&lt;&gt;AI$2,INDEX(Debt_Amt2,AJ$2),0),0)</f>
        <v>0</v>
      </c>
      <c r="AW199" s="123">
        <f t="array" ref="AW199">IFERROR(IF(AK$2&lt;&gt;AJ$2,INDEX(Debt_Amt2,AK$2),0),0)</f>
        <v>0</v>
      </c>
      <c r="AX199" s="123">
        <f t="array" ref="AX199">IFERROR(IF(AL$2&lt;&gt;AK$2,INDEX(Debt_Amt2,AL$2),0),0)</f>
        <v>0</v>
      </c>
      <c r="AY199" s="123">
        <f t="array" ref="AY199">IFERROR(IF(AM$2&lt;&gt;AL$2,INDEX(Debt_Amt2,AM$2),0),0)</f>
        <v>0</v>
      </c>
      <c r="AZ199" s="123">
        <f t="array" ref="AZ199">IFERROR(IF(AN$2&lt;&gt;AM$2,INDEX(Debt_Amt2,AN$2),0),0)</f>
        <v>0</v>
      </c>
      <c r="BA199" s="123">
        <f t="array" ref="BA199">IFERROR(IF(AO$2&lt;&gt;AN$2,INDEX(Debt_Amt2,AO$2),0),0)</f>
        <v>0</v>
      </c>
      <c r="BB199" s="123">
        <f t="array" ref="BB199">IFERROR(IF(AP$2&lt;&gt;AO$2,INDEX(Debt_Amt2,AP$2),0),0)</f>
        <v>0</v>
      </c>
      <c r="BC199" s="123">
        <f t="array" ref="BC199">IFERROR(IF(AQ$2&lt;&gt;AP$2,INDEX(Debt_Amt2,AQ$2),0),0)</f>
        <v>0</v>
      </c>
      <c r="BD199" s="123">
        <f t="array" ref="BD199">IFERROR(IF(AR$2&lt;&gt;AQ$2,INDEX(Debt_Amt2,AR$2),0),0)</f>
        <v>0</v>
      </c>
      <c r="BE199" s="123">
        <f t="array" ref="BE199">IFERROR(IF(AS$2&lt;&gt;AR$2,INDEX(Debt_Amt2,AS$2),0),0)</f>
        <v>0</v>
      </c>
      <c r="BF199" s="123">
        <f t="array" ref="BF199">IFERROR(IF(AT$2&lt;&gt;AS$2,INDEX(Debt_Amt2,AT$2),0),0)</f>
        <v>0</v>
      </c>
      <c r="BG199" s="123">
        <f t="array" ref="BG199">IFERROR(IF(AU$2&lt;&gt;AT$2,INDEX(Debt_Amt2,AU$2),0),0)</f>
        <v>0</v>
      </c>
      <c r="BH199" s="123">
        <f t="array" ref="BH199">IFERROR(IF(AV$2&lt;&gt;AU$2,INDEX(Debt_Amt2,AV$2),0),0)</f>
        <v>0</v>
      </c>
      <c r="BI199" s="123">
        <f t="array" ref="BI199">IFERROR(IF(AW$2&lt;&gt;AV$2,INDEX(Debt_Amt2,AW$2),0),0)</f>
        <v>0</v>
      </c>
      <c r="BJ199" s="123">
        <f t="array" ref="BJ199">IFERROR(IF(AX$2&lt;&gt;AW$2,INDEX(Debt_Amt2,AX$2),0),0)</f>
        <v>0</v>
      </c>
      <c r="BK199" s="123">
        <f t="array" ref="BK199">IFERROR(IF(AY$2&lt;&gt;AX$2,INDEX(Debt_Amt2,AY$2),0),0)</f>
        <v>0</v>
      </c>
      <c r="BL199" s="123">
        <f t="array" ref="BL199">IFERROR(IF(AZ$2&lt;&gt;AY$2,INDEX(Debt_Amt2,AZ$2),0),0)</f>
        <v>0</v>
      </c>
      <c r="BM199" s="123">
        <f t="array" ref="BM199">IFERROR(IF(BA$2&lt;&gt;AZ$2,INDEX(Debt_Amt2,BA$2),0),0)</f>
        <v>0</v>
      </c>
      <c r="BN199" s="123">
        <f t="array" ref="BN199">IFERROR(IF(BB$2&lt;&gt;BA$2,INDEX(Debt_Amt2,BB$2),0),0)</f>
        <v>0</v>
      </c>
      <c r="BO199" s="123">
        <f t="array" ref="BO199">IFERROR(IF(BC$2&lt;&gt;BB$2,INDEX(Debt_Amt2,BC$2),0),0)</f>
        <v>0</v>
      </c>
      <c r="BP199" s="123">
        <f t="array" ref="BP199">IFERROR(IF(BD$2&lt;&gt;BC$2,INDEX(Debt_Amt2,BD$2),0),0)</f>
        <v>0</v>
      </c>
      <c r="BQ199" s="123">
        <f t="array" ref="BQ199">IFERROR(IF(BE$2&lt;&gt;BD$2,INDEX(Debt_Amt2,BE$2),0),0)</f>
        <v>0</v>
      </c>
      <c r="BR199" s="123">
        <f t="array" ref="BR199">IFERROR(IF(BF$2&lt;&gt;BE$2,INDEX(Debt_Amt2,BF$2),0),0)</f>
        <v>0</v>
      </c>
      <c r="BS199" s="92"/>
    </row>
    <row r="200" ht="13.5" customHeight="1">
      <c r="A200" s="80"/>
      <c r="B200" s="81" t="s">
        <v>359</v>
      </c>
      <c r="C200" s="119"/>
      <c r="D200" s="82"/>
      <c r="E200" s="123">
        <f t="shared" ref="E200:I200" si="189">SUMIF($K$2:$BR$2,E$1,$K200:$BR200)</f>
        <v>0</v>
      </c>
      <c r="F200" s="123">
        <f t="shared" si="189"/>
        <v>0</v>
      </c>
      <c r="G200" s="123">
        <f t="shared" si="189"/>
        <v>0</v>
      </c>
      <c r="H200" s="123">
        <f t="shared" si="189"/>
        <v>0</v>
      </c>
      <c r="I200" s="123">
        <f t="shared" si="189"/>
        <v>0</v>
      </c>
      <c r="J200" s="314"/>
      <c r="K200" s="123"/>
      <c r="L200" s="123"/>
      <c r="M200" s="123"/>
      <c r="N200" s="123"/>
      <c r="O200" s="123"/>
      <c r="P200" s="123"/>
      <c r="Q200" s="123"/>
      <c r="R200" s="123"/>
      <c r="S200" s="123"/>
      <c r="T200" s="123"/>
      <c r="U200" s="123"/>
      <c r="V200" s="123"/>
      <c r="W200" s="123">
        <f>IF(W$1-12&lt;=Debt_Term2,-Debt_Amt2/Debt_Term2,0)</f>
        <v>0</v>
      </c>
      <c r="X200" s="123">
        <f>IF(X$1-12&lt;=Debt_Term2,-Debt_Amt2/Debt_Term2,0)</f>
        <v>0</v>
      </c>
      <c r="Y200" s="123">
        <f>IF(Y$1-12&lt;=Debt_Term2,-Debt_Amt2/Debt_Term2,0)</f>
        <v>0</v>
      </c>
      <c r="Z200" s="123">
        <f>IF(Z$1-12&lt;=Debt_Term2,-Debt_Amt2/Debt_Term2,0)</f>
        <v>0</v>
      </c>
      <c r="AA200" s="123">
        <f>IF(AA$1-12&lt;=Debt_Term2,-Debt_Amt2/Debt_Term2,0)</f>
        <v>0</v>
      </c>
      <c r="AB200" s="123">
        <f>IF(AB$1-12&lt;=Debt_Term2,-Debt_Amt2/Debt_Term2,0)</f>
        <v>0</v>
      </c>
      <c r="AC200" s="123">
        <f>IF(AC$1-12&lt;=Debt_Term2,-Debt_Amt2/Debt_Term2,0)</f>
        <v>0</v>
      </c>
      <c r="AD200" s="123">
        <f>IF(AD$1-12&lt;=Debt_Term2,-Debt_Amt2/Debt_Term2,0)</f>
        <v>0</v>
      </c>
      <c r="AE200" s="123">
        <f>IF(AE$1-12&lt;=Debt_Term2,-Debt_Amt2/Debt_Term2,0)</f>
        <v>0</v>
      </c>
      <c r="AF200" s="123">
        <f>IF(AF$1-12&lt;=Debt_Term2,-Debt_Amt2/Debt_Term2,0)</f>
        <v>0</v>
      </c>
      <c r="AG200" s="123">
        <f>IF(AG$1-12&lt;=Debt_Term2,-Debt_Amt2/Debt_Term2,0)</f>
        <v>0</v>
      </c>
      <c r="AH200" s="123">
        <f>IF(AH$1-12&lt;=Debt_Term2,-Debt_Amt2/Debt_Term2,0)</f>
        <v>0</v>
      </c>
      <c r="AI200" s="123">
        <f>IF(AI$1-12&lt;=Debt_Term2,-Debt_Amt2/Debt_Term2,0)</f>
        <v>0</v>
      </c>
      <c r="AJ200" s="123">
        <f>IF(AJ$1-12&lt;=Debt_Term2,-Debt_Amt2/Debt_Term2,0)</f>
        <v>0</v>
      </c>
      <c r="AK200" s="123">
        <f>IF(AK$1-12&lt;=Debt_Term2,-Debt_Amt2/Debt_Term2,0)</f>
        <v>0</v>
      </c>
      <c r="AL200" s="123">
        <f>IF(AL$1-12&lt;=Debt_Term2,-Debt_Amt2/Debt_Term2,0)</f>
        <v>0</v>
      </c>
      <c r="AM200" s="123">
        <f>IF(AM$1-12&lt;=Debt_Term2,-Debt_Amt2/Debt_Term2,0)</f>
        <v>0</v>
      </c>
      <c r="AN200" s="123">
        <f>IF(AN$1-12&lt;=Debt_Term2,-Debt_Amt2/Debt_Term2,0)</f>
        <v>0</v>
      </c>
      <c r="AO200" s="123">
        <f>IF(AO$1-12&lt;=Debt_Term2,-Debt_Amt2/Debt_Term2,0)</f>
        <v>0</v>
      </c>
      <c r="AP200" s="123">
        <f>IF(AP$1-12&lt;=Debt_Term2,-Debt_Amt2/Debt_Term2,0)</f>
        <v>0</v>
      </c>
      <c r="AQ200" s="123">
        <f>IF(AQ$1-12&lt;=Debt_Term2,-Debt_Amt2/Debt_Term2,0)</f>
        <v>0</v>
      </c>
      <c r="AR200" s="123">
        <f>IF(AR$1-12&lt;=Debt_Term2,-Debt_Amt2/Debt_Term2,0)</f>
        <v>0</v>
      </c>
      <c r="AS200" s="123">
        <f>IF(AS$1-12&lt;=Debt_Term2,-Debt_Amt2/Debt_Term2,0)</f>
        <v>0</v>
      </c>
      <c r="AT200" s="123">
        <f>IF(AT$1-12&lt;=Debt_Term2,-Debt_Amt2/Debt_Term2,0)</f>
        <v>0</v>
      </c>
      <c r="AU200" s="123">
        <f>IF(AU$1-12&lt;=Debt_Term2,-Debt_Amt2/Debt_Term2,0)</f>
        <v>0</v>
      </c>
      <c r="AV200" s="123">
        <f>IF(AV$1-12&lt;=Debt_Term2,-Debt_Amt2/Debt_Term2,0)</f>
        <v>0</v>
      </c>
      <c r="AW200" s="123">
        <f>IF(AW$1-12&lt;=Debt_Term2,-Debt_Amt2/Debt_Term2,0)</f>
        <v>0</v>
      </c>
      <c r="AX200" s="123">
        <f>IF(AX$1-12&lt;=Debt_Term2,-Debt_Amt2/Debt_Term2,0)</f>
        <v>0</v>
      </c>
      <c r="AY200" s="123">
        <f>IF(AY$1-12&lt;=Debt_Term2,-Debt_Amt2/Debt_Term2,0)</f>
        <v>0</v>
      </c>
      <c r="AZ200" s="123">
        <f>IF(AZ$1-12&lt;=Debt_Term2,-Debt_Amt2/Debt_Term2,0)</f>
        <v>0</v>
      </c>
      <c r="BA200" s="123">
        <f>IF(BA$1-12&lt;=Debt_Term2,-Debt_Amt2/Debt_Term2,0)</f>
        <v>0</v>
      </c>
      <c r="BB200" s="123">
        <f>IF(BB$1-12&lt;=Debt_Term2,-Debt_Amt2/Debt_Term2,0)</f>
        <v>0</v>
      </c>
      <c r="BC200" s="123">
        <f>IF(BC$1-12&lt;=Debt_Term2,-Debt_Amt2/Debt_Term2,0)</f>
        <v>0</v>
      </c>
      <c r="BD200" s="123">
        <f>IF(BD$1-12&lt;=Debt_Term2,-Debt_Amt2/Debt_Term2,0)</f>
        <v>0</v>
      </c>
      <c r="BE200" s="123">
        <f>IF(BE$1-12&lt;=Debt_Term2,-Debt_Amt2/Debt_Term2,0)</f>
        <v>0</v>
      </c>
      <c r="BF200" s="123">
        <f>IF(BF$1-12&lt;=Debt_Term2,-Debt_Amt2/Debt_Term2,0)</f>
        <v>0</v>
      </c>
      <c r="BG200" s="123">
        <f>IF(BG$1-12&lt;=Debt_Term2,-Debt_Amt2/Debt_Term2,0)</f>
        <v>0</v>
      </c>
      <c r="BH200" s="123">
        <f>IF(BH$1-12&lt;=Debt_Term2,-Debt_Amt2/Debt_Term2,0)</f>
        <v>0</v>
      </c>
      <c r="BI200" s="123">
        <f>IF(BI$1-12&lt;=Debt_Term2,-Debt_Amt2/Debt_Term2,0)</f>
        <v>0</v>
      </c>
      <c r="BJ200" s="123">
        <f>IF(BJ$1-12&lt;=Debt_Term2,-Debt_Amt2/Debt_Term2,0)</f>
        <v>0</v>
      </c>
      <c r="BK200" s="123">
        <f>IF(BK$1-12&lt;=Debt_Term2,-Debt_Amt2/Debt_Term2,0)</f>
        <v>0</v>
      </c>
      <c r="BL200" s="123">
        <f>IF(BL$1-12&lt;=Debt_Term2,-Debt_Amt2/Debt_Term2,0)</f>
        <v>0</v>
      </c>
      <c r="BM200" s="123">
        <f>IF(BM$1-12&lt;=Debt_Term2,-Debt_Amt2/Debt_Term2,0)</f>
        <v>0</v>
      </c>
      <c r="BN200" s="123">
        <f>IF(BN$1-12&lt;=Debt_Term2,-Debt_Amt2/Debt_Term2,0)</f>
        <v>0</v>
      </c>
      <c r="BO200" s="123">
        <f>IF(BO$1-12&lt;=Debt_Term2,-Debt_Amt2/Debt_Term2,0)</f>
        <v>0</v>
      </c>
      <c r="BP200" s="123">
        <f>IF(BP$1-12&lt;=Debt_Term2,-Debt_Amt2/Debt_Term2,0)</f>
        <v>0</v>
      </c>
      <c r="BQ200" s="123">
        <f>IF(BQ$1-12&lt;=Debt_Term2,-Debt_Amt2/Debt_Term2,0)</f>
        <v>0</v>
      </c>
      <c r="BR200" s="123">
        <f>IF(BR$1-12&lt;=Debt_Term2,-Debt_Amt2/Debt_Term2,0)</f>
        <v>0</v>
      </c>
      <c r="BS200" s="92"/>
    </row>
    <row r="201" ht="15.75" customHeight="1">
      <c r="A201" s="80"/>
      <c r="B201" s="98" t="s">
        <v>140</v>
      </c>
      <c r="C201" s="98"/>
      <c r="D201" s="99"/>
      <c r="E201" s="300">
        <f t="shared" ref="E201:I201" si="190">INDEX($K201:$BR201,,MATCH(E$1,$K$2:$BR$2,0)+11)</f>
        <v>0</v>
      </c>
      <c r="F201" s="300">
        <f t="shared" si="190"/>
        <v>0</v>
      </c>
      <c r="G201" s="300">
        <f t="shared" si="190"/>
        <v>0</v>
      </c>
      <c r="H201" s="300">
        <f t="shared" si="190"/>
        <v>0</v>
      </c>
      <c r="I201" s="300">
        <f t="shared" si="190"/>
        <v>0</v>
      </c>
      <c r="J201" s="92"/>
      <c r="K201" s="300">
        <f t="shared" ref="K201:BR201" si="191">SUM(K198:K200)</f>
        <v>0</v>
      </c>
      <c r="L201" s="300">
        <f t="shared" si="191"/>
        <v>0</v>
      </c>
      <c r="M201" s="300">
        <f t="shared" si="191"/>
        <v>0</v>
      </c>
      <c r="N201" s="300">
        <f t="shared" si="191"/>
        <v>0</v>
      </c>
      <c r="O201" s="300">
        <f t="shared" si="191"/>
        <v>0</v>
      </c>
      <c r="P201" s="300">
        <f t="shared" si="191"/>
        <v>0</v>
      </c>
      <c r="Q201" s="300">
        <f t="shared" si="191"/>
        <v>0</v>
      </c>
      <c r="R201" s="300">
        <f t="shared" si="191"/>
        <v>0</v>
      </c>
      <c r="S201" s="300">
        <f t="shared" si="191"/>
        <v>0</v>
      </c>
      <c r="T201" s="300">
        <f t="shared" si="191"/>
        <v>0</v>
      </c>
      <c r="U201" s="300">
        <f t="shared" si="191"/>
        <v>0</v>
      </c>
      <c r="V201" s="300">
        <f t="shared" si="191"/>
        <v>0</v>
      </c>
      <c r="W201" s="300">
        <f t="shared" si="191"/>
        <v>0</v>
      </c>
      <c r="X201" s="300">
        <f t="shared" si="191"/>
        <v>0</v>
      </c>
      <c r="Y201" s="300">
        <f t="shared" si="191"/>
        <v>0</v>
      </c>
      <c r="Z201" s="300">
        <f t="shared" si="191"/>
        <v>0</v>
      </c>
      <c r="AA201" s="300">
        <f t="shared" si="191"/>
        <v>0</v>
      </c>
      <c r="AB201" s="300">
        <f t="shared" si="191"/>
        <v>0</v>
      </c>
      <c r="AC201" s="300">
        <f t="shared" si="191"/>
        <v>0</v>
      </c>
      <c r="AD201" s="300">
        <f t="shared" si="191"/>
        <v>0</v>
      </c>
      <c r="AE201" s="300">
        <f t="shared" si="191"/>
        <v>0</v>
      </c>
      <c r="AF201" s="300">
        <f t="shared" si="191"/>
        <v>0</v>
      </c>
      <c r="AG201" s="300">
        <f t="shared" si="191"/>
        <v>0</v>
      </c>
      <c r="AH201" s="300">
        <f t="shared" si="191"/>
        <v>0</v>
      </c>
      <c r="AI201" s="300">
        <f t="shared" si="191"/>
        <v>0</v>
      </c>
      <c r="AJ201" s="300">
        <f t="shared" si="191"/>
        <v>0</v>
      </c>
      <c r="AK201" s="300">
        <f t="shared" si="191"/>
        <v>0</v>
      </c>
      <c r="AL201" s="300">
        <f t="shared" si="191"/>
        <v>0</v>
      </c>
      <c r="AM201" s="300">
        <f t="shared" si="191"/>
        <v>0</v>
      </c>
      <c r="AN201" s="300">
        <f t="shared" si="191"/>
        <v>0</v>
      </c>
      <c r="AO201" s="300">
        <f t="shared" si="191"/>
        <v>0</v>
      </c>
      <c r="AP201" s="300">
        <f t="shared" si="191"/>
        <v>0</v>
      </c>
      <c r="AQ201" s="300">
        <f t="shared" si="191"/>
        <v>0</v>
      </c>
      <c r="AR201" s="300">
        <f t="shared" si="191"/>
        <v>0</v>
      </c>
      <c r="AS201" s="300">
        <f t="shared" si="191"/>
        <v>0</v>
      </c>
      <c r="AT201" s="300">
        <f t="shared" si="191"/>
        <v>0</v>
      </c>
      <c r="AU201" s="300">
        <f t="shared" si="191"/>
        <v>0</v>
      </c>
      <c r="AV201" s="300">
        <f t="shared" si="191"/>
        <v>0</v>
      </c>
      <c r="AW201" s="300">
        <f t="shared" si="191"/>
        <v>0</v>
      </c>
      <c r="AX201" s="300">
        <f t="shared" si="191"/>
        <v>0</v>
      </c>
      <c r="AY201" s="300">
        <f t="shared" si="191"/>
        <v>0</v>
      </c>
      <c r="AZ201" s="300">
        <f t="shared" si="191"/>
        <v>0</v>
      </c>
      <c r="BA201" s="300">
        <f t="shared" si="191"/>
        <v>0</v>
      </c>
      <c r="BB201" s="300">
        <f t="shared" si="191"/>
        <v>0</v>
      </c>
      <c r="BC201" s="300">
        <f t="shared" si="191"/>
        <v>0</v>
      </c>
      <c r="BD201" s="300">
        <f t="shared" si="191"/>
        <v>0</v>
      </c>
      <c r="BE201" s="300">
        <f t="shared" si="191"/>
        <v>0</v>
      </c>
      <c r="BF201" s="300">
        <f t="shared" si="191"/>
        <v>0</v>
      </c>
      <c r="BG201" s="300">
        <f t="shared" si="191"/>
        <v>0</v>
      </c>
      <c r="BH201" s="300">
        <f t="shared" si="191"/>
        <v>0</v>
      </c>
      <c r="BI201" s="300">
        <f t="shared" si="191"/>
        <v>0</v>
      </c>
      <c r="BJ201" s="300">
        <f t="shared" si="191"/>
        <v>0</v>
      </c>
      <c r="BK201" s="300">
        <f t="shared" si="191"/>
        <v>0</v>
      </c>
      <c r="BL201" s="300">
        <f t="shared" si="191"/>
        <v>0</v>
      </c>
      <c r="BM201" s="300">
        <f t="shared" si="191"/>
        <v>0</v>
      </c>
      <c r="BN201" s="300">
        <f t="shared" si="191"/>
        <v>0</v>
      </c>
      <c r="BO201" s="300">
        <f t="shared" si="191"/>
        <v>0</v>
      </c>
      <c r="BP201" s="300">
        <f t="shared" si="191"/>
        <v>0</v>
      </c>
      <c r="BQ201" s="300">
        <f t="shared" si="191"/>
        <v>0</v>
      </c>
      <c r="BR201" s="300">
        <f t="shared" si="191"/>
        <v>0</v>
      </c>
      <c r="BS201" s="75"/>
    </row>
    <row r="202" ht="7.5" customHeight="1">
      <c r="A202" s="80"/>
      <c r="B202" s="75"/>
      <c r="C202" s="81"/>
      <c r="D202" s="82"/>
      <c r="E202" s="322"/>
      <c r="F202" s="322"/>
      <c r="G202" s="322"/>
      <c r="H202" s="322"/>
      <c r="I202" s="322"/>
      <c r="J202" s="82"/>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c r="BD202" s="286"/>
      <c r="BE202" s="286"/>
      <c r="BF202" s="286"/>
      <c r="BG202" s="286"/>
      <c r="BH202" s="286"/>
      <c r="BI202" s="286"/>
      <c r="BJ202" s="286"/>
      <c r="BK202" s="286"/>
      <c r="BL202" s="286"/>
      <c r="BM202" s="286"/>
      <c r="BN202" s="286"/>
      <c r="BO202" s="286"/>
      <c r="BP202" s="286"/>
      <c r="BQ202" s="286"/>
      <c r="BR202" s="286"/>
      <c r="BS202" s="82"/>
    </row>
    <row r="203" ht="15.75" customHeight="1">
      <c r="A203" s="80"/>
      <c r="B203" s="298" t="s">
        <v>362</v>
      </c>
      <c r="C203" s="131"/>
      <c r="D203" s="102"/>
      <c r="E203" s="132">
        <f t="shared" ref="E203:I203" si="192">SUMIF($K$2:$BR$2,E$1,$K203:$BR203)</f>
        <v>0</v>
      </c>
      <c r="F203" s="132">
        <f t="shared" si="192"/>
        <v>0</v>
      </c>
      <c r="G203" s="132">
        <f t="shared" si="192"/>
        <v>0</v>
      </c>
      <c r="H203" s="132">
        <f t="shared" si="192"/>
        <v>0</v>
      </c>
      <c r="I203" s="132">
        <f t="shared" si="192"/>
        <v>0</v>
      </c>
      <c r="J203" s="92"/>
      <c r="K203" s="132">
        <f>(-AVERAGE(K$199,K$201)*Debt_Rate2/12)</f>
        <v>0</v>
      </c>
      <c r="L203" s="132">
        <f>(-AVERAGE(L$199,L$201)*Debt_Rate2/12)</f>
        <v>0</v>
      </c>
      <c r="M203" s="132">
        <f>(-AVERAGE(M$199,M$201)*Debt_Rate2/12)</f>
        <v>0</v>
      </c>
      <c r="N203" s="132">
        <f>(-AVERAGE(N$199,N$201)*Debt_Rate2/12)</f>
        <v>0</v>
      </c>
      <c r="O203" s="132">
        <f>(-AVERAGE(O$199,O$201)*Debt_Rate2/12)</f>
        <v>0</v>
      </c>
      <c r="P203" s="132">
        <f>(-AVERAGE(P$199,P$201)*Debt_Rate2/12)</f>
        <v>0</v>
      </c>
      <c r="Q203" s="132">
        <f>(-AVERAGE(Q$199,Q$201)*Debt_Rate2/12)</f>
        <v>0</v>
      </c>
      <c r="R203" s="132">
        <f>(-AVERAGE(R$199,R$201)*Debt_Rate2/12)</f>
        <v>0</v>
      </c>
      <c r="S203" s="132">
        <f>(-AVERAGE(S$199,S$201)*Debt_Rate2/12)</f>
        <v>0</v>
      </c>
      <c r="T203" s="132">
        <f>(-AVERAGE(T$199,T$201)*Debt_Rate2/12)</f>
        <v>0</v>
      </c>
      <c r="U203" s="132">
        <f>(-AVERAGE(U$199,U$201)*Debt_Rate2/12)</f>
        <v>0</v>
      </c>
      <c r="V203" s="132">
        <f>(-AVERAGE(V$199,V$201)*Debt_Rate2/12)</f>
        <v>0</v>
      </c>
      <c r="W203" s="132">
        <f>(-AVERAGE(W$199,W$201)*Debt_Rate2/12)</f>
        <v>0</v>
      </c>
      <c r="X203" s="132">
        <f>(-AVERAGE(X$199,X$201)*Debt_Rate2/12)</f>
        <v>0</v>
      </c>
      <c r="Y203" s="132">
        <f>(-AVERAGE(Y$199,Y$201)*Debt_Rate2/12)</f>
        <v>0</v>
      </c>
      <c r="Z203" s="132">
        <f>(-AVERAGE(Z$199,Z$201)*Debt_Rate2/12)</f>
        <v>0</v>
      </c>
      <c r="AA203" s="132">
        <f>(-AVERAGE(AA$199,AA$201)*Debt_Rate2/12)</f>
        <v>0</v>
      </c>
      <c r="AB203" s="132">
        <f>(-AVERAGE(AB$199,AB$201)*Debt_Rate2/12)</f>
        <v>0</v>
      </c>
      <c r="AC203" s="132">
        <f>(-AVERAGE(AC$199,AC$201)*Debt_Rate2/12)</f>
        <v>0</v>
      </c>
      <c r="AD203" s="132">
        <f>(-AVERAGE(AD$199,AD$201)*Debt_Rate2/12)</f>
        <v>0</v>
      </c>
      <c r="AE203" s="132">
        <f>(-AVERAGE(AE$199,AE$201)*Debt_Rate2/12)</f>
        <v>0</v>
      </c>
      <c r="AF203" s="132">
        <f>(-AVERAGE(AF$199,AF$201)*Debt_Rate2/12)</f>
        <v>0</v>
      </c>
      <c r="AG203" s="132">
        <f>(-AVERAGE(AG$199,AG$201)*Debt_Rate2/12)</f>
        <v>0</v>
      </c>
      <c r="AH203" s="132">
        <f>(-AVERAGE(AH$199,AH$201)*Debt_Rate2/12)</f>
        <v>0</v>
      </c>
      <c r="AI203" s="132">
        <f>(-AVERAGE(AI$199,AI$201)*Debt_Rate2/12)</f>
        <v>0</v>
      </c>
      <c r="AJ203" s="132">
        <f>(-AVERAGE(AJ$199,AJ$201)*Debt_Rate2/12)</f>
        <v>0</v>
      </c>
      <c r="AK203" s="132">
        <f>(-AVERAGE(AK$199,AK$201)*Debt_Rate2/12)</f>
        <v>0</v>
      </c>
      <c r="AL203" s="132">
        <f>(-AVERAGE(AL$199,AL$201)*Debt_Rate2/12)</f>
        <v>0</v>
      </c>
      <c r="AM203" s="132">
        <f>(-AVERAGE(AM$199,AM$201)*Debt_Rate2/12)</f>
        <v>0</v>
      </c>
      <c r="AN203" s="132">
        <f>(-AVERAGE(AN$199,AN$201)*Debt_Rate2/12)</f>
        <v>0</v>
      </c>
      <c r="AO203" s="132">
        <f>(-AVERAGE(AO$199,AO$201)*Debt_Rate2/12)</f>
        <v>0</v>
      </c>
      <c r="AP203" s="132">
        <f>(-AVERAGE(AP$199,AP$201)*Debt_Rate2/12)</f>
        <v>0</v>
      </c>
      <c r="AQ203" s="132">
        <f>(-AVERAGE(AQ$199,AQ$201)*Debt_Rate2/12)</f>
        <v>0</v>
      </c>
      <c r="AR203" s="132">
        <f>(-AVERAGE(AR$199,AR$201)*Debt_Rate2/12)</f>
        <v>0</v>
      </c>
      <c r="AS203" s="132">
        <f>(-AVERAGE(AS$199,AS$201)*Debt_Rate2/12)</f>
        <v>0</v>
      </c>
      <c r="AT203" s="132">
        <f>(-AVERAGE(AT$199,AT$201)*Debt_Rate2/12)</f>
        <v>0</v>
      </c>
      <c r="AU203" s="132">
        <f>(-AVERAGE(AU$199,AU$201)*Debt_Rate2/12)</f>
        <v>0</v>
      </c>
      <c r="AV203" s="132">
        <f>(-AVERAGE(AV$199,AV$201)*Debt_Rate2/12)</f>
        <v>0</v>
      </c>
      <c r="AW203" s="132">
        <f>(-AVERAGE(AW$199,AW$201)*Debt_Rate2/12)</f>
        <v>0</v>
      </c>
      <c r="AX203" s="132">
        <f>(-AVERAGE(AX$199,AX$201)*Debt_Rate2/12)</f>
        <v>0</v>
      </c>
      <c r="AY203" s="132">
        <f>(-AVERAGE(AY$199,AY$201)*Debt_Rate2/12)</f>
        <v>0</v>
      </c>
      <c r="AZ203" s="132">
        <f>(-AVERAGE(AZ$199,AZ$201)*Debt_Rate2/12)</f>
        <v>0</v>
      </c>
      <c r="BA203" s="132">
        <f>(-AVERAGE(BA$199,BA$201)*Debt_Rate2/12)</f>
        <v>0</v>
      </c>
      <c r="BB203" s="132">
        <f>(-AVERAGE(BB$199,BB$201)*Debt_Rate2/12)</f>
        <v>0</v>
      </c>
      <c r="BC203" s="132">
        <f>(-AVERAGE(BC$199,BC$201)*Debt_Rate2/12)</f>
        <v>0</v>
      </c>
      <c r="BD203" s="132">
        <f>(-AVERAGE(BD$199,BD$201)*Debt_Rate2/12)</f>
        <v>0</v>
      </c>
      <c r="BE203" s="132">
        <f>(-AVERAGE(BE$199,BE$201)*Debt_Rate2/12)</f>
        <v>0</v>
      </c>
      <c r="BF203" s="132">
        <f>(-AVERAGE(BF$199,BF$201)*Debt_Rate2/12)</f>
        <v>0</v>
      </c>
      <c r="BG203" s="132">
        <f>(-AVERAGE(BG$199,BG$201)*Debt_Rate2/12)</f>
        <v>0</v>
      </c>
      <c r="BH203" s="132">
        <f>(-AVERAGE(BH$199,BH$201)*Debt_Rate2/12)</f>
        <v>0</v>
      </c>
      <c r="BI203" s="132">
        <f>(-AVERAGE(BI$199,BI$201)*Debt_Rate2/12)</f>
        <v>0</v>
      </c>
      <c r="BJ203" s="132">
        <f>(-AVERAGE(BJ$199,BJ$201)*Debt_Rate2/12)</f>
        <v>0</v>
      </c>
      <c r="BK203" s="132">
        <f>(-AVERAGE(BK$199,BK$201)*Debt_Rate2/12)</f>
        <v>0</v>
      </c>
      <c r="BL203" s="132">
        <f>(-AVERAGE(BL$199,BL$201)*Debt_Rate2/12)</f>
        <v>0</v>
      </c>
      <c r="BM203" s="132">
        <f>(-AVERAGE(BM$199,BM$201)*Debt_Rate2/12)</f>
        <v>0</v>
      </c>
      <c r="BN203" s="132">
        <f>(-AVERAGE(BN$199,BN$201)*Debt_Rate2/12)</f>
        <v>0</v>
      </c>
      <c r="BO203" s="132">
        <f>(-AVERAGE(BO$199,BO$201)*Debt_Rate2/12)</f>
        <v>0</v>
      </c>
      <c r="BP203" s="132">
        <f>(-AVERAGE(BP$199,BP$201)*Debt_Rate2/12)</f>
        <v>0</v>
      </c>
      <c r="BQ203" s="132">
        <f>(-AVERAGE(BQ$199,BQ$201)*Debt_Rate2/12)</f>
        <v>0</v>
      </c>
      <c r="BR203" s="132">
        <f>(-AVERAGE(BR$199,BR$201)*Debt_Rate2/12)</f>
        <v>0</v>
      </c>
      <c r="BS203" s="75"/>
    </row>
    <row r="204" ht="15.75" customHeight="1">
      <c r="A204" s="106"/>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c r="BO204" s="75"/>
      <c r="BP204" s="75"/>
      <c r="BQ204" s="75"/>
      <c r="BR204" s="75"/>
      <c r="BS204" s="75"/>
    </row>
    <row r="205" ht="15.75" customHeight="1">
      <c r="A205" s="80"/>
      <c r="B205" s="298" t="s">
        <v>363</v>
      </c>
      <c r="C205" s="131"/>
      <c r="D205" s="102"/>
      <c r="E205" s="132" t="str">
        <f t="shared" ref="E205:I205" si="193">INDEX($K205:$BR205,,MATCH(E$1,$K$2:$BR$2,0))</f>
        <v/>
      </c>
      <c r="F205" s="132">
        <f t="shared" si="193"/>
        <v>0</v>
      </c>
      <c r="G205" s="132">
        <f t="shared" si="193"/>
        <v>0</v>
      </c>
      <c r="H205" s="132">
        <f t="shared" si="193"/>
        <v>0</v>
      </c>
      <c r="I205" s="132">
        <f t="shared" si="193"/>
        <v>0</v>
      </c>
      <c r="J205" s="92"/>
      <c r="K205" s="132" t="str">
        <f t="shared" ref="K205:BR205" si="194">J208</f>
        <v/>
      </c>
      <c r="L205" s="132">
        <f t="shared" si="194"/>
        <v>0</v>
      </c>
      <c r="M205" s="132">
        <f t="shared" si="194"/>
        <v>0</v>
      </c>
      <c r="N205" s="132">
        <f t="shared" si="194"/>
        <v>0</v>
      </c>
      <c r="O205" s="132">
        <f t="shared" si="194"/>
        <v>0</v>
      </c>
      <c r="P205" s="132">
        <f t="shared" si="194"/>
        <v>0</v>
      </c>
      <c r="Q205" s="132">
        <f t="shared" si="194"/>
        <v>0</v>
      </c>
      <c r="R205" s="132">
        <f t="shared" si="194"/>
        <v>0</v>
      </c>
      <c r="S205" s="132">
        <f t="shared" si="194"/>
        <v>0</v>
      </c>
      <c r="T205" s="132">
        <f t="shared" si="194"/>
        <v>0</v>
      </c>
      <c r="U205" s="132">
        <f t="shared" si="194"/>
        <v>0</v>
      </c>
      <c r="V205" s="132">
        <f t="shared" si="194"/>
        <v>0</v>
      </c>
      <c r="W205" s="132">
        <f t="shared" si="194"/>
        <v>0</v>
      </c>
      <c r="X205" s="132">
        <f t="shared" si="194"/>
        <v>0</v>
      </c>
      <c r="Y205" s="132">
        <f t="shared" si="194"/>
        <v>0</v>
      </c>
      <c r="Z205" s="132">
        <f t="shared" si="194"/>
        <v>0</v>
      </c>
      <c r="AA205" s="132">
        <f t="shared" si="194"/>
        <v>0</v>
      </c>
      <c r="AB205" s="132">
        <f t="shared" si="194"/>
        <v>0</v>
      </c>
      <c r="AC205" s="132">
        <f t="shared" si="194"/>
        <v>0</v>
      </c>
      <c r="AD205" s="132">
        <f t="shared" si="194"/>
        <v>0</v>
      </c>
      <c r="AE205" s="132">
        <f t="shared" si="194"/>
        <v>0</v>
      </c>
      <c r="AF205" s="132">
        <f t="shared" si="194"/>
        <v>0</v>
      </c>
      <c r="AG205" s="132">
        <f t="shared" si="194"/>
        <v>0</v>
      </c>
      <c r="AH205" s="132">
        <f t="shared" si="194"/>
        <v>0</v>
      </c>
      <c r="AI205" s="132">
        <f t="shared" si="194"/>
        <v>0</v>
      </c>
      <c r="AJ205" s="132">
        <f t="shared" si="194"/>
        <v>0</v>
      </c>
      <c r="AK205" s="132">
        <f t="shared" si="194"/>
        <v>0</v>
      </c>
      <c r="AL205" s="132">
        <f t="shared" si="194"/>
        <v>0</v>
      </c>
      <c r="AM205" s="132">
        <f t="shared" si="194"/>
        <v>0</v>
      </c>
      <c r="AN205" s="132">
        <f t="shared" si="194"/>
        <v>0</v>
      </c>
      <c r="AO205" s="132">
        <f t="shared" si="194"/>
        <v>0</v>
      </c>
      <c r="AP205" s="132">
        <f t="shared" si="194"/>
        <v>0</v>
      </c>
      <c r="AQ205" s="132">
        <f t="shared" si="194"/>
        <v>0</v>
      </c>
      <c r="AR205" s="132">
        <f t="shared" si="194"/>
        <v>0</v>
      </c>
      <c r="AS205" s="132">
        <f t="shared" si="194"/>
        <v>0</v>
      </c>
      <c r="AT205" s="132">
        <f t="shared" si="194"/>
        <v>0</v>
      </c>
      <c r="AU205" s="132">
        <f t="shared" si="194"/>
        <v>0</v>
      </c>
      <c r="AV205" s="132">
        <f t="shared" si="194"/>
        <v>0</v>
      </c>
      <c r="AW205" s="132">
        <f t="shared" si="194"/>
        <v>0</v>
      </c>
      <c r="AX205" s="132">
        <f t="shared" si="194"/>
        <v>0</v>
      </c>
      <c r="AY205" s="132">
        <f t="shared" si="194"/>
        <v>0</v>
      </c>
      <c r="AZ205" s="132">
        <f t="shared" si="194"/>
        <v>0</v>
      </c>
      <c r="BA205" s="132">
        <f t="shared" si="194"/>
        <v>0</v>
      </c>
      <c r="BB205" s="132">
        <f t="shared" si="194"/>
        <v>0</v>
      </c>
      <c r="BC205" s="132">
        <f t="shared" si="194"/>
        <v>0</v>
      </c>
      <c r="BD205" s="132">
        <f t="shared" si="194"/>
        <v>0</v>
      </c>
      <c r="BE205" s="132">
        <f t="shared" si="194"/>
        <v>0</v>
      </c>
      <c r="BF205" s="132">
        <f t="shared" si="194"/>
        <v>0</v>
      </c>
      <c r="BG205" s="132">
        <f t="shared" si="194"/>
        <v>0</v>
      </c>
      <c r="BH205" s="132">
        <f t="shared" si="194"/>
        <v>0</v>
      </c>
      <c r="BI205" s="132">
        <f t="shared" si="194"/>
        <v>0</v>
      </c>
      <c r="BJ205" s="132">
        <f t="shared" si="194"/>
        <v>0</v>
      </c>
      <c r="BK205" s="132">
        <f t="shared" si="194"/>
        <v>0</v>
      </c>
      <c r="BL205" s="132">
        <f t="shared" si="194"/>
        <v>0</v>
      </c>
      <c r="BM205" s="132">
        <f t="shared" si="194"/>
        <v>0</v>
      </c>
      <c r="BN205" s="132">
        <f t="shared" si="194"/>
        <v>0</v>
      </c>
      <c r="BO205" s="132">
        <f t="shared" si="194"/>
        <v>0</v>
      </c>
      <c r="BP205" s="132">
        <f t="shared" si="194"/>
        <v>0</v>
      </c>
      <c r="BQ205" s="132">
        <f t="shared" si="194"/>
        <v>0</v>
      </c>
      <c r="BR205" s="132">
        <f t="shared" si="194"/>
        <v>0</v>
      </c>
      <c r="BS205" s="75"/>
    </row>
    <row r="206" ht="13.5" customHeight="1">
      <c r="A206" s="80"/>
      <c r="B206" s="81" t="s">
        <v>358</v>
      </c>
      <c r="C206" s="119"/>
      <c r="D206" s="92"/>
      <c r="E206" s="123">
        <f t="shared" ref="E206:I206" si="195">SUMIF($K$2:$BR$2,E$1,$L206:$BR206)</f>
        <v>0</v>
      </c>
      <c r="F206" s="123">
        <f t="shared" si="195"/>
        <v>0</v>
      </c>
      <c r="G206" s="123">
        <f t="shared" si="195"/>
        <v>0</v>
      </c>
      <c r="H206" s="123">
        <f t="shared" si="195"/>
        <v>0</v>
      </c>
      <c r="I206" s="123">
        <f t="shared" si="195"/>
        <v>0</v>
      </c>
      <c r="J206" s="314"/>
      <c r="K206" s="123"/>
      <c r="L206" s="123"/>
      <c r="M206" s="123"/>
      <c r="N206" s="123"/>
      <c r="O206" s="123"/>
      <c r="P206" s="123"/>
      <c r="Q206" s="123"/>
      <c r="R206" s="123"/>
      <c r="S206" s="123"/>
      <c r="T206" s="123"/>
      <c r="U206" s="123"/>
      <c r="V206" s="123"/>
      <c r="W206" s="123"/>
      <c r="X206" s="123"/>
      <c r="Y206" s="123"/>
      <c r="Z206" s="123"/>
      <c r="AA206" s="123"/>
      <c r="AB206" s="123"/>
      <c r="AC206" s="123"/>
      <c r="AD206" s="123"/>
      <c r="AE206" s="123"/>
      <c r="AF206" s="123"/>
      <c r="AG206" s="123"/>
      <c r="AH206" s="123"/>
      <c r="AI206" s="123" t="str">
        <f t="array" ref="AI206">IFERROR(IF(K$2&lt;&gt;J$2,INDEX(Debt_Amt3,K$2),0),0)</f>
        <v/>
      </c>
      <c r="AJ206" s="123">
        <f t="array" ref="AJ206">IFERROR(IF(L$2&lt;&gt;K$2,INDEX(Debt_Amt3,L$2),0),0)</f>
        <v>0</v>
      </c>
      <c r="AK206" s="123">
        <f t="array" ref="AK206">IFERROR(IF(M$2&lt;&gt;L$2,INDEX(Debt_Amt3,M$2),0),0)</f>
        <v>0</v>
      </c>
      <c r="AL206" s="123">
        <f t="array" ref="AL206">IFERROR(IF(N$2&lt;&gt;M$2,INDEX(Debt_Amt3,N$2),0),0)</f>
        <v>0</v>
      </c>
      <c r="AM206" s="123">
        <f t="array" ref="AM206">IFERROR(IF(O$2&lt;&gt;N$2,INDEX(Debt_Amt3,O$2),0),0)</f>
        <v>0</v>
      </c>
      <c r="AN206" s="123">
        <f t="array" ref="AN206">IFERROR(IF(P$2&lt;&gt;O$2,INDEX(Debt_Amt3,P$2),0),0)</f>
        <v>0</v>
      </c>
      <c r="AO206" s="123">
        <f t="array" ref="AO206">IFERROR(IF(Q$2&lt;&gt;P$2,INDEX(Debt_Amt3,Q$2),0),0)</f>
        <v>0</v>
      </c>
      <c r="AP206" s="123">
        <f t="array" ref="AP206">IFERROR(IF(R$2&lt;&gt;Q$2,INDEX(Debt_Amt3,R$2),0),0)</f>
        <v>0</v>
      </c>
      <c r="AQ206" s="123">
        <f t="array" ref="AQ206">IFERROR(IF(S$2&lt;&gt;R$2,INDEX(Debt_Amt3,S$2),0),0)</f>
        <v>0</v>
      </c>
      <c r="AR206" s="123">
        <f t="array" ref="AR206">IFERROR(IF(T$2&lt;&gt;S$2,INDEX(Debt_Amt3,T$2),0),0)</f>
        <v>0</v>
      </c>
      <c r="AS206" s="123">
        <f t="array" ref="AS206">IFERROR(IF(U$2&lt;&gt;T$2,INDEX(Debt_Amt3,U$2),0),0)</f>
        <v>0</v>
      </c>
      <c r="AT206" s="123">
        <f t="array" ref="AT206">IFERROR(IF(V$2&lt;&gt;U$2,INDEX(Debt_Amt3,V$2),0),0)</f>
        <v>0</v>
      </c>
      <c r="AU206" s="123">
        <f t="array" ref="AU206">IFERROR(IF(W$2&lt;&gt;V$2,INDEX(Debt_Amt3,W$2),0),0)</f>
        <v>0</v>
      </c>
      <c r="AV206" s="123">
        <f t="array" ref="AV206">IFERROR(IF(X$2&lt;&gt;W$2,INDEX(Debt_Amt3,X$2),0),0)</f>
        <v>0</v>
      </c>
      <c r="AW206" s="123">
        <f t="array" ref="AW206">IFERROR(IF(Y$2&lt;&gt;X$2,INDEX(Debt_Amt3,Y$2),0),0)</f>
        <v>0</v>
      </c>
      <c r="AX206" s="123">
        <f t="array" ref="AX206">IFERROR(IF(Z$2&lt;&gt;Y$2,INDEX(Debt_Amt3,Z$2),0),0)</f>
        <v>0</v>
      </c>
      <c r="AY206" s="123">
        <f t="array" ref="AY206">IFERROR(IF(AA$2&lt;&gt;Z$2,INDEX(Debt_Amt3,AA$2),0),0)</f>
        <v>0</v>
      </c>
      <c r="AZ206" s="123">
        <f t="array" ref="AZ206">IFERROR(IF(AB$2&lt;&gt;AA$2,INDEX(Debt_Amt3,AB$2),0),0)</f>
        <v>0</v>
      </c>
      <c r="BA206" s="123">
        <f t="array" ref="BA206">IFERROR(IF(AC$2&lt;&gt;AB$2,INDEX(Debt_Amt3,AC$2),0),0)</f>
        <v>0</v>
      </c>
      <c r="BB206" s="123">
        <f t="array" ref="BB206">IFERROR(IF(AD$2&lt;&gt;AC$2,INDEX(Debt_Amt3,AD$2),0),0)</f>
        <v>0</v>
      </c>
      <c r="BC206" s="123">
        <f t="array" ref="BC206">IFERROR(IF(AE$2&lt;&gt;AD$2,INDEX(Debt_Amt3,AE$2),0),0)</f>
        <v>0</v>
      </c>
      <c r="BD206" s="123">
        <f t="array" ref="BD206">IFERROR(IF(AF$2&lt;&gt;AE$2,INDEX(Debt_Amt3,AF$2),0),0)</f>
        <v>0</v>
      </c>
      <c r="BE206" s="123">
        <f t="array" ref="BE206">IFERROR(IF(AG$2&lt;&gt;AF$2,INDEX(Debt_Amt3,AG$2),0),0)</f>
        <v>0</v>
      </c>
      <c r="BF206" s="123">
        <f t="array" ref="BF206">IFERROR(IF(AH$2&lt;&gt;AG$2,INDEX(Debt_Amt3,AH$2),0),0)</f>
        <v>0</v>
      </c>
      <c r="BG206" s="123">
        <f t="array" ref="BG206">IFERROR(IF(AI$2&lt;&gt;AH$2,INDEX(Debt_Amt3,AI$2),0),0)</f>
        <v>0</v>
      </c>
      <c r="BH206" s="123">
        <f t="array" ref="BH206">IFERROR(IF(AJ$2&lt;&gt;AI$2,INDEX(Debt_Amt3,AJ$2),0),0)</f>
        <v>0</v>
      </c>
      <c r="BI206" s="123">
        <f t="array" ref="BI206">IFERROR(IF(AK$2&lt;&gt;AJ$2,INDEX(Debt_Amt3,AK$2),0),0)</f>
        <v>0</v>
      </c>
      <c r="BJ206" s="123">
        <f t="array" ref="BJ206">IFERROR(IF(AL$2&lt;&gt;AK$2,INDEX(Debt_Amt3,AL$2),0),0)</f>
        <v>0</v>
      </c>
      <c r="BK206" s="123">
        <f t="array" ref="BK206">IFERROR(IF(AM$2&lt;&gt;AL$2,INDEX(Debt_Amt3,AM$2),0),0)</f>
        <v>0</v>
      </c>
      <c r="BL206" s="123">
        <f t="array" ref="BL206">IFERROR(IF(AN$2&lt;&gt;AM$2,INDEX(Debt_Amt3,AN$2),0),0)</f>
        <v>0</v>
      </c>
      <c r="BM206" s="123">
        <f t="array" ref="BM206">IFERROR(IF(AO$2&lt;&gt;AN$2,INDEX(Debt_Amt3,AO$2),0),0)</f>
        <v>0</v>
      </c>
      <c r="BN206" s="123">
        <f t="array" ref="BN206">IFERROR(IF(AP$2&lt;&gt;AO$2,INDEX(Debt_Amt3,AP$2),0),0)</f>
        <v>0</v>
      </c>
      <c r="BO206" s="123">
        <f t="array" ref="BO206">IFERROR(IF(AQ$2&lt;&gt;AP$2,INDEX(Debt_Amt3,AQ$2),0),0)</f>
        <v>0</v>
      </c>
      <c r="BP206" s="123">
        <f t="array" ref="BP206">IFERROR(IF(AR$2&lt;&gt;AQ$2,INDEX(Debt_Amt3,AR$2),0),0)</f>
        <v>0</v>
      </c>
      <c r="BQ206" s="123">
        <f t="array" ref="BQ206">IFERROR(IF(AS$2&lt;&gt;AR$2,INDEX(Debt_Amt3,AS$2),0),0)</f>
        <v>0</v>
      </c>
      <c r="BR206" s="123">
        <f t="array" ref="BR206">IFERROR(IF(AT$2&lt;&gt;AS$2,INDEX(Debt_Amt3,AT$2),0),0)</f>
        <v>0</v>
      </c>
      <c r="BS206" s="92"/>
    </row>
    <row r="207" ht="13.5" customHeight="1">
      <c r="A207" s="80"/>
      <c r="B207" s="81" t="s">
        <v>359</v>
      </c>
      <c r="C207" s="119"/>
      <c r="D207" s="82"/>
      <c r="E207" s="123">
        <f t="shared" ref="E207:I207" si="196">SUMIF($K$2:$BR$2,E$1,$K207:$BR207)</f>
        <v>0</v>
      </c>
      <c r="F207" s="123">
        <f t="shared" si="196"/>
        <v>0</v>
      </c>
      <c r="G207" s="123">
        <f t="shared" si="196"/>
        <v>0</v>
      </c>
      <c r="H207" s="123">
        <f t="shared" si="196"/>
        <v>0</v>
      </c>
      <c r="I207" s="123">
        <f t="shared" si="196"/>
        <v>0</v>
      </c>
      <c r="J207" s="314"/>
      <c r="K207" s="123"/>
      <c r="L207" s="123"/>
      <c r="M207" s="123"/>
      <c r="N207" s="123"/>
      <c r="O207" s="123"/>
      <c r="P207" s="123"/>
      <c r="Q207" s="123"/>
      <c r="R207" s="123"/>
      <c r="S207" s="123"/>
      <c r="T207" s="123"/>
      <c r="U207" s="123"/>
      <c r="V207" s="123"/>
      <c r="W207" s="123"/>
      <c r="X207" s="123"/>
      <c r="Y207" s="123"/>
      <c r="Z207" s="123"/>
      <c r="AA207" s="123"/>
      <c r="AB207" s="123"/>
      <c r="AC207" s="123"/>
      <c r="AD207" s="123"/>
      <c r="AE207" s="123"/>
      <c r="AF207" s="123"/>
      <c r="AG207" s="123"/>
      <c r="AH207" s="123"/>
      <c r="AI207" s="123">
        <f>IF(AI$1-24&lt;=Debt_Term3,-Debt_Amt3/Debt_Term3,0)</f>
        <v>0</v>
      </c>
      <c r="AJ207" s="123">
        <f>IF(AJ$1-24&lt;=Debt_Term3,-Debt_Amt3/Debt_Term3,0)</f>
        <v>0</v>
      </c>
      <c r="AK207" s="123">
        <f>IF(AK$1-24&lt;=Debt_Term3,-Debt_Amt3/Debt_Term3,0)</f>
        <v>0</v>
      </c>
      <c r="AL207" s="123">
        <f>IF(AL$1-24&lt;=Debt_Term3,-Debt_Amt3/Debt_Term3,0)</f>
        <v>0</v>
      </c>
      <c r="AM207" s="123">
        <f>IF(AM$1-24&lt;=Debt_Term3,-Debt_Amt3/Debt_Term3,0)</f>
        <v>0</v>
      </c>
      <c r="AN207" s="123">
        <f>IF(AN$1-24&lt;=Debt_Term3,-Debt_Amt3/Debt_Term3,0)</f>
        <v>0</v>
      </c>
      <c r="AO207" s="123">
        <f>IF(AO$1-24&lt;=Debt_Term3,-Debt_Amt3/Debt_Term3,0)</f>
        <v>0</v>
      </c>
      <c r="AP207" s="123">
        <f>IF(AP$1-24&lt;=Debt_Term3,-Debt_Amt3/Debt_Term3,0)</f>
        <v>0</v>
      </c>
      <c r="AQ207" s="123">
        <f>IF(AQ$1-24&lt;=Debt_Term3,-Debt_Amt3/Debt_Term3,0)</f>
        <v>0</v>
      </c>
      <c r="AR207" s="123">
        <f>IF(AR$1-24&lt;=Debt_Term3,-Debt_Amt3/Debt_Term3,0)</f>
        <v>0</v>
      </c>
      <c r="AS207" s="123">
        <f>IF(AS$1-24&lt;=Debt_Term3,-Debt_Amt3/Debt_Term3,0)</f>
        <v>0</v>
      </c>
      <c r="AT207" s="123">
        <f>IF(AT$1-24&lt;=Debt_Term3,-Debt_Amt3/Debt_Term3,0)</f>
        <v>0</v>
      </c>
      <c r="AU207" s="123">
        <f>IF(AU$1-24&lt;=Debt_Term3,-Debt_Amt3/Debt_Term3,0)</f>
        <v>0</v>
      </c>
      <c r="AV207" s="123">
        <f>IF(AV$1-24&lt;=Debt_Term3,-Debt_Amt3/Debt_Term3,0)</f>
        <v>0</v>
      </c>
      <c r="AW207" s="123">
        <f>IF(AW$1-24&lt;=Debt_Term3,-Debt_Amt3/Debt_Term3,0)</f>
        <v>0</v>
      </c>
      <c r="AX207" s="123">
        <f>IF(AX$1-24&lt;=Debt_Term3,-Debt_Amt3/Debt_Term3,0)</f>
        <v>0</v>
      </c>
      <c r="AY207" s="123">
        <f>IF(AY$1-24&lt;=Debt_Term3,-Debt_Amt3/Debt_Term3,0)</f>
        <v>0</v>
      </c>
      <c r="AZ207" s="123">
        <f>IF(AZ$1-24&lt;=Debt_Term3,-Debt_Amt3/Debt_Term3,0)</f>
        <v>0</v>
      </c>
      <c r="BA207" s="123">
        <f>IF(BA$1-24&lt;=Debt_Term3,-Debt_Amt3/Debt_Term3,0)</f>
        <v>0</v>
      </c>
      <c r="BB207" s="123">
        <f>IF(BB$1-24&lt;=Debt_Term3,-Debt_Amt3/Debt_Term3,0)</f>
        <v>0</v>
      </c>
      <c r="BC207" s="123">
        <f>IF(BC$1-24&lt;=Debt_Term3,-Debt_Amt3/Debt_Term3,0)</f>
        <v>0</v>
      </c>
      <c r="BD207" s="123">
        <f>IF(BD$1-24&lt;=Debt_Term3,-Debt_Amt3/Debt_Term3,0)</f>
        <v>0</v>
      </c>
      <c r="BE207" s="123">
        <f>IF(BE$1-24&lt;=Debt_Term3,-Debt_Amt3/Debt_Term3,0)</f>
        <v>0</v>
      </c>
      <c r="BF207" s="123">
        <f>IF(BF$1-24&lt;=Debt_Term3,-Debt_Amt3/Debt_Term3,0)</f>
        <v>0</v>
      </c>
      <c r="BG207" s="123">
        <f>IF(BG$1-24&lt;=Debt_Term3,-Debt_Amt3/Debt_Term3,0)</f>
        <v>0</v>
      </c>
      <c r="BH207" s="123">
        <f>IF(BH$1-24&lt;=Debt_Term3,-Debt_Amt3/Debt_Term3,0)</f>
        <v>0</v>
      </c>
      <c r="BI207" s="123">
        <f>IF(BI$1-24&lt;=Debt_Term3,-Debt_Amt3/Debt_Term3,0)</f>
        <v>0</v>
      </c>
      <c r="BJ207" s="123">
        <f>IF(BJ$1-24&lt;=Debt_Term3,-Debt_Amt3/Debt_Term3,0)</f>
        <v>0</v>
      </c>
      <c r="BK207" s="123">
        <f>IF(BK$1-24&lt;=Debt_Term3,-Debt_Amt3/Debt_Term3,0)</f>
        <v>0</v>
      </c>
      <c r="BL207" s="123">
        <f>IF(BL$1-24&lt;=Debt_Term3,-Debt_Amt3/Debt_Term3,0)</f>
        <v>0</v>
      </c>
      <c r="BM207" s="123">
        <f>IF(BM$1-24&lt;=Debt_Term3,-Debt_Amt3/Debt_Term3,0)</f>
        <v>0</v>
      </c>
      <c r="BN207" s="123">
        <f>IF(BN$1-24&lt;=Debt_Term3,-Debt_Amt3/Debt_Term3,0)</f>
        <v>0</v>
      </c>
      <c r="BO207" s="123">
        <f>IF(BO$1-24&lt;=Debt_Term3,-Debt_Amt3/Debt_Term3,0)</f>
        <v>0</v>
      </c>
      <c r="BP207" s="123">
        <f>IF(BP$1-24&lt;=Debt_Term3,-Debt_Amt3/Debt_Term3,0)</f>
        <v>0</v>
      </c>
      <c r="BQ207" s="123">
        <f>IF(BQ$1-24&lt;=Debt_Term3,-Debt_Amt3/Debt_Term3,0)</f>
        <v>0</v>
      </c>
      <c r="BR207" s="123">
        <f>IF(BR$1-24&lt;=Debt_Term3,-Debt_Amt3/Debt_Term3,0)</f>
        <v>0</v>
      </c>
      <c r="BS207" s="92"/>
    </row>
    <row r="208" ht="15.75" customHeight="1">
      <c r="A208" s="80"/>
      <c r="B208" s="98" t="s">
        <v>140</v>
      </c>
      <c r="C208" s="98"/>
      <c r="D208" s="99"/>
      <c r="E208" s="300">
        <f t="shared" ref="E208:I208" si="197">INDEX($K208:$BR208,,MATCH(E$1,$K$2:$BR$2,0)+11)</f>
        <v>0</v>
      </c>
      <c r="F208" s="300">
        <f t="shared" si="197"/>
        <v>0</v>
      </c>
      <c r="G208" s="300">
        <f t="shared" si="197"/>
        <v>0</v>
      </c>
      <c r="H208" s="300">
        <f t="shared" si="197"/>
        <v>0</v>
      </c>
      <c r="I208" s="300">
        <f t="shared" si="197"/>
        <v>0</v>
      </c>
      <c r="J208" s="92"/>
      <c r="K208" s="300">
        <f t="shared" ref="K208:BR208" si="198">SUM(K205:K207)</f>
        <v>0</v>
      </c>
      <c r="L208" s="300">
        <f t="shared" si="198"/>
        <v>0</v>
      </c>
      <c r="M208" s="300">
        <f t="shared" si="198"/>
        <v>0</v>
      </c>
      <c r="N208" s="300">
        <f t="shared" si="198"/>
        <v>0</v>
      </c>
      <c r="O208" s="300">
        <f t="shared" si="198"/>
        <v>0</v>
      </c>
      <c r="P208" s="300">
        <f t="shared" si="198"/>
        <v>0</v>
      </c>
      <c r="Q208" s="300">
        <f t="shared" si="198"/>
        <v>0</v>
      </c>
      <c r="R208" s="300">
        <f t="shared" si="198"/>
        <v>0</v>
      </c>
      <c r="S208" s="300">
        <f t="shared" si="198"/>
        <v>0</v>
      </c>
      <c r="T208" s="300">
        <f t="shared" si="198"/>
        <v>0</v>
      </c>
      <c r="U208" s="300">
        <f t="shared" si="198"/>
        <v>0</v>
      </c>
      <c r="V208" s="300">
        <f t="shared" si="198"/>
        <v>0</v>
      </c>
      <c r="W208" s="300">
        <f t="shared" si="198"/>
        <v>0</v>
      </c>
      <c r="X208" s="300">
        <f t="shared" si="198"/>
        <v>0</v>
      </c>
      <c r="Y208" s="300">
        <f t="shared" si="198"/>
        <v>0</v>
      </c>
      <c r="Z208" s="300">
        <f t="shared" si="198"/>
        <v>0</v>
      </c>
      <c r="AA208" s="300">
        <f t="shared" si="198"/>
        <v>0</v>
      </c>
      <c r="AB208" s="300">
        <f t="shared" si="198"/>
        <v>0</v>
      </c>
      <c r="AC208" s="300">
        <f t="shared" si="198"/>
        <v>0</v>
      </c>
      <c r="AD208" s="300">
        <f t="shared" si="198"/>
        <v>0</v>
      </c>
      <c r="AE208" s="300">
        <f t="shared" si="198"/>
        <v>0</v>
      </c>
      <c r="AF208" s="300">
        <f t="shared" si="198"/>
        <v>0</v>
      </c>
      <c r="AG208" s="300">
        <f t="shared" si="198"/>
        <v>0</v>
      </c>
      <c r="AH208" s="300">
        <f t="shared" si="198"/>
        <v>0</v>
      </c>
      <c r="AI208" s="300">
        <f t="shared" si="198"/>
        <v>0</v>
      </c>
      <c r="AJ208" s="300">
        <f t="shared" si="198"/>
        <v>0</v>
      </c>
      <c r="AK208" s="300">
        <f t="shared" si="198"/>
        <v>0</v>
      </c>
      <c r="AL208" s="300">
        <f t="shared" si="198"/>
        <v>0</v>
      </c>
      <c r="AM208" s="300">
        <f t="shared" si="198"/>
        <v>0</v>
      </c>
      <c r="AN208" s="300">
        <f t="shared" si="198"/>
        <v>0</v>
      </c>
      <c r="AO208" s="300">
        <f t="shared" si="198"/>
        <v>0</v>
      </c>
      <c r="AP208" s="300">
        <f t="shared" si="198"/>
        <v>0</v>
      </c>
      <c r="AQ208" s="300">
        <f t="shared" si="198"/>
        <v>0</v>
      </c>
      <c r="AR208" s="300">
        <f t="shared" si="198"/>
        <v>0</v>
      </c>
      <c r="AS208" s="300">
        <f t="shared" si="198"/>
        <v>0</v>
      </c>
      <c r="AT208" s="300">
        <f t="shared" si="198"/>
        <v>0</v>
      </c>
      <c r="AU208" s="300">
        <f t="shared" si="198"/>
        <v>0</v>
      </c>
      <c r="AV208" s="300">
        <f t="shared" si="198"/>
        <v>0</v>
      </c>
      <c r="AW208" s="300">
        <f t="shared" si="198"/>
        <v>0</v>
      </c>
      <c r="AX208" s="300">
        <f t="shared" si="198"/>
        <v>0</v>
      </c>
      <c r="AY208" s="300">
        <f t="shared" si="198"/>
        <v>0</v>
      </c>
      <c r="AZ208" s="300">
        <f t="shared" si="198"/>
        <v>0</v>
      </c>
      <c r="BA208" s="300">
        <f t="shared" si="198"/>
        <v>0</v>
      </c>
      <c r="BB208" s="300">
        <f t="shared" si="198"/>
        <v>0</v>
      </c>
      <c r="BC208" s="300">
        <f t="shared" si="198"/>
        <v>0</v>
      </c>
      <c r="BD208" s="300">
        <f t="shared" si="198"/>
        <v>0</v>
      </c>
      <c r="BE208" s="300">
        <f t="shared" si="198"/>
        <v>0</v>
      </c>
      <c r="BF208" s="300">
        <f t="shared" si="198"/>
        <v>0</v>
      </c>
      <c r="BG208" s="300">
        <f t="shared" si="198"/>
        <v>0</v>
      </c>
      <c r="BH208" s="300">
        <f t="shared" si="198"/>
        <v>0</v>
      </c>
      <c r="BI208" s="300">
        <f t="shared" si="198"/>
        <v>0</v>
      </c>
      <c r="BJ208" s="300">
        <f t="shared" si="198"/>
        <v>0</v>
      </c>
      <c r="BK208" s="300">
        <f t="shared" si="198"/>
        <v>0</v>
      </c>
      <c r="BL208" s="300">
        <f t="shared" si="198"/>
        <v>0</v>
      </c>
      <c r="BM208" s="300">
        <f t="shared" si="198"/>
        <v>0</v>
      </c>
      <c r="BN208" s="300">
        <f t="shared" si="198"/>
        <v>0</v>
      </c>
      <c r="BO208" s="300">
        <f t="shared" si="198"/>
        <v>0</v>
      </c>
      <c r="BP208" s="300">
        <f t="shared" si="198"/>
        <v>0</v>
      </c>
      <c r="BQ208" s="300">
        <f t="shared" si="198"/>
        <v>0</v>
      </c>
      <c r="BR208" s="300">
        <f t="shared" si="198"/>
        <v>0</v>
      </c>
      <c r="BS208" s="75"/>
    </row>
    <row r="209" ht="7.5" customHeight="1">
      <c r="A209" s="80"/>
      <c r="B209" s="75"/>
      <c r="C209" s="81"/>
      <c r="D209" s="82"/>
      <c r="E209" s="322"/>
      <c r="F209" s="322"/>
      <c r="G209" s="322"/>
      <c r="H209" s="322"/>
      <c r="I209" s="322"/>
      <c r="J209" s="82"/>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c r="BD209" s="286"/>
      <c r="BE209" s="286"/>
      <c r="BF209" s="286"/>
      <c r="BG209" s="286"/>
      <c r="BH209" s="286"/>
      <c r="BI209" s="286"/>
      <c r="BJ209" s="286"/>
      <c r="BK209" s="286"/>
      <c r="BL209" s="286"/>
      <c r="BM209" s="286"/>
      <c r="BN209" s="286"/>
      <c r="BO209" s="286"/>
      <c r="BP209" s="286"/>
      <c r="BQ209" s="286"/>
      <c r="BR209" s="286"/>
      <c r="BS209" s="82"/>
    </row>
    <row r="210" ht="15.75" customHeight="1">
      <c r="A210" s="80"/>
      <c r="B210" s="298" t="s">
        <v>364</v>
      </c>
      <c r="C210" s="131"/>
      <c r="D210" s="102"/>
      <c r="E210" s="132">
        <f t="shared" ref="E210:I210" si="199">SUMIF($K$2:$BR$2,E$1,$K210:$BR210)</f>
        <v>0</v>
      </c>
      <c r="F210" s="132">
        <f t="shared" si="199"/>
        <v>0</v>
      </c>
      <c r="G210" s="132">
        <f t="shared" si="199"/>
        <v>0</v>
      </c>
      <c r="H210" s="132">
        <f t="shared" si="199"/>
        <v>0</v>
      </c>
      <c r="I210" s="132">
        <f t="shared" si="199"/>
        <v>0</v>
      </c>
      <c r="J210" s="92"/>
      <c r="K210" s="132">
        <f>(-AVERAGE(K$206,K$208)*Debt_Rate3/12)</f>
        <v>0</v>
      </c>
      <c r="L210" s="132">
        <f>(-AVERAGE(L$206,L$208)*Debt_Rate3/12)</f>
        <v>0</v>
      </c>
      <c r="M210" s="132">
        <f>(-AVERAGE(M$206,M$208)*Debt_Rate3/12)</f>
        <v>0</v>
      </c>
      <c r="N210" s="132">
        <f>(-AVERAGE(N$206,N$208)*Debt_Rate3/12)</f>
        <v>0</v>
      </c>
      <c r="O210" s="132">
        <f>(-AVERAGE(O$206,O$208)*Debt_Rate3/12)</f>
        <v>0</v>
      </c>
      <c r="P210" s="132">
        <f>(-AVERAGE(P$206,P$208)*Debt_Rate3/12)</f>
        <v>0</v>
      </c>
      <c r="Q210" s="132">
        <f>(-AVERAGE(Q$206,Q$208)*Debt_Rate3/12)</f>
        <v>0</v>
      </c>
      <c r="R210" s="132">
        <f>(-AVERAGE(R$206,R$208)*Debt_Rate3/12)</f>
        <v>0</v>
      </c>
      <c r="S210" s="132">
        <f>(-AVERAGE(S$206,S$208)*Debt_Rate3/12)</f>
        <v>0</v>
      </c>
      <c r="T210" s="132">
        <f>(-AVERAGE(T$206,T$208)*Debt_Rate3/12)</f>
        <v>0</v>
      </c>
      <c r="U210" s="132">
        <f>(-AVERAGE(U$206,U$208)*Debt_Rate3/12)</f>
        <v>0</v>
      </c>
      <c r="V210" s="132">
        <f>(-AVERAGE(V$206,V$208)*Debt_Rate3/12)</f>
        <v>0</v>
      </c>
      <c r="W210" s="132">
        <f>(-AVERAGE(W$206,W$208)*Debt_Rate3/12)</f>
        <v>0</v>
      </c>
      <c r="X210" s="132">
        <f>(-AVERAGE(X$206,X$208)*Debt_Rate3/12)</f>
        <v>0</v>
      </c>
      <c r="Y210" s="132">
        <f>(-AVERAGE(Y$206,Y$208)*Debt_Rate3/12)</f>
        <v>0</v>
      </c>
      <c r="Z210" s="132">
        <f>(-AVERAGE(Z$206,Z$208)*Debt_Rate3/12)</f>
        <v>0</v>
      </c>
      <c r="AA210" s="132">
        <f>(-AVERAGE(AA$206,AA$208)*Debt_Rate3/12)</f>
        <v>0</v>
      </c>
      <c r="AB210" s="132">
        <f>(-AVERAGE(AB$206,AB$208)*Debt_Rate3/12)</f>
        <v>0</v>
      </c>
      <c r="AC210" s="132">
        <f>(-AVERAGE(AC$206,AC$208)*Debt_Rate3/12)</f>
        <v>0</v>
      </c>
      <c r="AD210" s="132">
        <f>(-AVERAGE(AD$206,AD$208)*Debt_Rate3/12)</f>
        <v>0</v>
      </c>
      <c r="AE210" s="132">
        <f>(-AVERAGE(AE$206,AE$208)*Debt_Rate3/12)</f>
        <v>0</v>
      </c>
      <c r="AF210" s="132">
        <f>(-AVERAGE(AF$206,AF$208)*Debt_Rate3/12)</f>
        <v>0</v>
      </c>
      <c r="AG210" s="132">
        <f>(-AVERAGE(AG$206,AG$208)*Debt_Rate3/12)</f>
        <v>0</v>
      </c>
      <c r="AH210" s="132">
        <f>(-AVERAGE(AH$206,AH$208)*Debt_Rate3/12)</f>
        <v>0</v>
      </c>
      <c r="AI210" s="132">
        <f>(-AVERAGE(AI$206,AI$208)*Debt_Rate3/12)</f>
        <v>0</v>
      </c>
      <c r="AJ210" s="132">
        <f>(-AVERAGE(AJ$206,AJ$208)*Debt_Rate3/12)</f>
        <v>0</v>
      </c>
      <c r="AK210" s="132">
        <f>(-AVERAGE(AK$206,AK$208)*Debt_Rate3/12)</f>
        <v>0</v>
      </c>
      <c r="AL210" s="132">
        <f>(-AVERAGE(AL$206,AL$208)*Debt_Rate3/12)</f>
        <v>0</v>
      </c>
      <c r="AM210" s="132">
        <f>(-AVERAGE(AM$206,AM$208)*Debt_Rate3/12)</f>
        <v>0</v>
      </c>
      <c r="AN210" s="132">
        <f>(-AVERAGE(AN$206,AN$208)*Debt_Rate3/12)</f>
        <v>0</v>
      </c>
      <c r="AO210" s="132">
        <f>(-AVERAGE(AO$206,AO$208)*Debt_Rate3/12)</f>
        <v>0</v>
      </c>
      <c r="AP210" s="132">
        <f>(-AVERAGE(AP$206,AP$208)*Debt_Rate3/12)</f>
        <v>0</v>
      </c>
      <c r="AQ210" s="132">
        <f>(-AVERAGE(AQ$206,AQ$208)*Debt_Rate3/12)</f>
        <v>0</v>
      </c>
      <c r="AR210" s="132">
        <f>(-AVERAGE(AR$206,AR$208)*Debt_Rate3/12)</f>
        <v>0</v>
      </c>
      <c r="AS210" s="132">
        <f>(-AVERAGE(AS$206,AS$208)*Debt_Rate3/12)</f>
        <v>0</v>
      </c>
      <c r="AT210" s="132">
        <f>(-AVERAGE(AT$206,AT$208)*Debt_Rate3/12)</f>
        <v>0</v>
      </c>
      <c r="AU210" s="132">
        <f>(-AVERAGE(AU$206,AU$208)*Debt_Rate3/12)</f>
        <v>0</v>
      </c>
      <c r="AV210" s="132">
        <f>(-AVERAGE(AV$206,AV$208)*Debt_Rate3/12)</f>
        <v>0</v>
      </c>
      <c r="AW210" s="132">
        <f>(-AVERAGE(AW$206,AW$208)*Debt_Rate3/12)</f>
        <v>0</v>
      </c>
      <c r="AX210" s="132">
        <f>(-AVERAGE(AX$206,AX$208)*Debt_Rate3/12)</f>
        <v>0</v>
      </c>
      <c r="AY210" s="132">
        <f>(-AVERAGE(AY$206,AY$208)*Debt_Rate3/12)</f>
        <v>0</v>
      </c>
      <c r="AZ210" s="132">
        <f>(-AVERAGE(AZ$206,AZ$208)*Debt_Rate3/12)</f>
        <v>0</v>
      </c>
      <c r="BA210" s="132">
        <f>(-AVERAGE(BA$206,BA$208)*Debt_Rate3/12)</f>
        <v>0</v>
      </c>
      <c r="BB210" s="132">
        <f>(-AVERAGE(BB$206,BB$208)*Debt_Rate3/12)</f>
        <v>0</v>
      </c>
      <c r="BC210" s="132">
        <f>(-AVERAGE(BC$206,BC$208)*Debt_Rate3/12)</f>
        <v>0</v>
      </c>
      <c r="BD210" s="132">
        <f>(-AVERAGE(BD$206,BD$208)*Debt_Rate3/12)</f>
        <v>0</v>
      </c>
      <c r="BE210" s="132">
        <f>(-AVERAGE(BE$206,BE$208)*Debt_Rate3/12)</f>
        <v>0</v>
      </c>
      <c r="BF210" s="132">
        <f>(-AVERAGE(BF$206,BF$208)*Debt_Rate3/12)</f>
        <v>0</v>
      </c>
      <c r="BG210" s="132">
        <f>(-AVERAGE(BG$206,BG$208)*Debt_Rate3/12)</f>
        <v>0</v>
      </c>
      <c r="BH210" s="132">
        <f>(-AVERAGE(BH$206,BH$208)*Debt_Rate3/12)</f>
        <v>0</v>
      </c>
      <c r="BI210" s="132">
        <f>(-AVERAGE(BI$206,BI$208)*Debt_Rate3/12)</f>
        <v>0</v>
      </c>
      <c r="BJ210" s="132">
        <f>(-AVERAGE(BJ$206,BJ$208)*Debt_Rate3/12)</f>
        <v>0</v>
      </c>
      <c r="BK210" s="132">
        <f>(-AVERAGE(BK$206,BK$208)*Debt_Rate3/12)</f>
        <v>0</v>
      </c>
      <c r="BL210" s="132">
        <f>(-AVERAGE(BL$206,BL$208)*Debt_Rate3/12)</f>
        <v>0</v>
      </c>
      <c r="BM210" s="132">
        <f>(-AVERAGE(BM$206,BM$208)*Debt_Rate3/12)</f>
        <v>0</v>
      </c>
      <c r="BN210" s="132">
        <f>(-AVERAGE(BN$206,BN$208)*Debt_Rate3/12)</f>
        <v>0</v>
      </c>
      <c r="BO210" s="132">
        <f>(-AVERAGE(BO$206,BO$208)*Debt_Rate3/12)</f>
        <v>0</v>
      </c>
      <c r="BP210" s="132">
        <f>(-AVERAGE(BP$206,BP$208)*Debt_Rate3/12)</f>
        <v>0</v>
      </c>
      <c r="BQ210" s="132">
        <f>(-AVERAGE(BQ$206,BQ$208)*Debt_Rate3/12)</f>
        <v>0</v>
      </c>
      <c r="BR210" s="132">
        <f>(-AVERAGE(BR$206,BR$208)*Debt_Rate3/12)</f>
        <v>0</v>
      </c>
      <c r="BS210" s="75"/>
    </row>
    <row r="211" ht="15.75" customHeight="1">
      <c r="A211" s="80"/>
      <c r="B211" s="122"/>
      <c r="C211" s="92"/>
      <c r="D211" s="85"/>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119"/>
    </row>
    <row r="212" ht="15.75" customHeight="1">
      <c r="A212" s="80"/>
      <c r="B212" s="136" t="s">
        <v>142</v>
      </c>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5"/>
      <c r="BS212" s="282"/>
    </row>
    <row r="213" ht="15.75" customHeight="1">
      <c r="A213" s="106"/>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c r="BK213" s="75"/>
      <c r="BL213" s="75"/>
      <c r="BM213" s="75"/>
      <c r="BN213" s="75"/>
      <c r="BO213" s="75"/>
      <c r="BP213" s="75"/>
      <c r="BQ213" s="75"/>
      <c r="BR213" s="75"/>
      <c r="BS213" s="75"/>
    </row>
    <row r="214" ht="15.75" customHeight="1">
      <c r="A214" s="106"/>
      <c r="B214" s="75" t="s">
        <v>365</v>
      </c>
      <c r="C214" s="323" t="str">
        <f>Opening</f>
        <v>Opening</v>
      </c>
      <c r="D214" s="317">
        <v>1.0</v>
      </c>
      <c r="E214" s="123" t="str">
        <f t="shared" ref="E214:I214" si="200">INDEX($K214:$BR214,,MATCH(E$1,$K$2:$BR$2,0))</f>
        <v/>
      </c>
      <c r="F214" s="123">
        <f t="shared" si="200"/>
        <v>133368.75</v>
      </c>
      <c r="G214" s="123">
        <f t="shared" si="200"/>
        <v>88912.5</v>
      </c>
      <c r="H214" s="123">
        <f t="shared" si="200"/>
        <v>44456.25</v>
      </c>
      <c r="I214" s="123">
        <f t="shared" si="200"/>
        <v>0</v>
      </c>
      <c r="J214" s="75"/>
      <c r="K214" s="301" t="str">
        <f t="shared" ref="K214:BR214" si="201">J217</f>
        <v/>
      </c>
      <c r="L214" s="301">
        <f t="shared" si="201"/>
        <v>174120.3125</v>
      </c>
      <c r="M214" s="301">
        <f t="shared" si="201"/>
        <v>170415.625</v>
      </c>
      <c r="N214" s="301">
        <f t="shared" si="201"/>
        <v>166710.9375</v>
      </c>
      <c r="O214" s="301">
        <f t="shared" si="201"/>
        <v>163006.25</v>
      </c>
      <c r="P214" s="301">
        <f t="shared" si="201"/>
        <v>159301.5625</v>
      </c>
      <c r="Q214" s="301">
        <f t="shared" si="201"/>
        <v>155596.875</v>
      </c>
      <c r="R214" s="301">
        <f t="shared" si="201"/>
        <v>151892.1875</v>
      </c>
      <c r="S214" s="301">
        <f t="shared" si="201"/>
        <v>148187.5</v>
      </c>
      <c r="T214" s="301">
        <f t="shared" si="201"/>
        <v>144482.8125</v>
      </c>
      <c r="U214" s="301">
        <f t="shared" si="201"/>
        <v>140778.125</v>
      </c>
      <c r="V214" s="301">
        <f t="shared" si="201"/>
        <v>137073.4375</v>
      </c>
      <c r="W214" s="301">
        <f t="shared" si="201"/>
        <v>133368.75</v>
      </c>
      <c r="X214" s="301">
        <f t="shared" si="201"/>
        <v>129664.0625</v>
      </c>
      <c r="Y214" s="301">
        <f t="shared" si="201"/>
        <v>125959.375</v>
      </c>
      <c r="Z214" s="301">
        <f t="shared" si="201"/>
        <v>122254.6875</v>
      </c>
      <c r="AA214" s="301">
        <f t="shared" si="201"/>
        <v>118550</v>
      </c>
      <c r="AB214" s="301">
        <f t="shared" si="201"/>
        <v>114845.3125</v>
      </c>
      <c r="AC214" s="301">
        <f t="shared" si="201"/>
        <v>111140.625</v>
      </c>
      <c r="AD214" s="301">
        <f t="shared" si="201"/>
        <v>107435.9375</v>
      </c>
      <c r="AE214" s="301">
        <f t="shared" si="201"/>
        <v>103731.25</v>
      </c>
      <c r="AF214" s="301">
        <f t="shared" si="201"/>
        <v>100026.5625</v>
      </c>
      <c r="AG214" s="301">
        <f t="shared" si="201"/>
        <v>96321.875</v>
      </c>
      <c r="AH214" s="301">
        <f t="shared" si="201"/>
        <v>92617.1875</v>
      </c>
      <c r="AI214" s="301">
        <f t="shared" si="201"/>
        <v>88912.5</v>
      </c>
      <c r="AJ214" s="301">
        <f t="shared" si="201"/>
        <v>85207.8125</v>
      </c>
      <c r="AK214" s="301">
        <f t="shared" si="201"/>
        <v>81503.125</v>
      </c>
      <c r="AL214" s="301">
        <f t="shared" si="201"/>
        <v>77798.4375</v>
      </c>
      <c r="AM214" s="301">
        <f t="shared" si="201"/>
        <v>74093.75</v>
      </c>
      <c r="AN214" s="301">
        <f t="shared" si="201"/>
        <v>70389.0625</v>
      </c>
      <c r="AO214" s="301">
        <f t="shared" si="201"/>
        <v>66684.375</v>
      </c>
      <c r="AP214" s="301">
        <f t="shared" si="201"/>
        <v>62979.6875</v>
      </c>
      <c r="AQ214" s="301">
        <f t="shared" si="201"/>
        <v>59275</v>
      </c>
      <c r="AR214" s="301">
        <f t="shared" si="201"/>
        <v>55570.3125</v>
      </c>
      <c r="AS214" s="301">
        <f t="shared" si="201"/>
        <v>51865.625</v>
      </c>
      <c r="AT214" s="301">
        <f t="shared" si="201"/>
        <v>48160.9375</v>
      </c>
      <c r="AU214" s="301">
        <f t="shared" si="201"/>
        <v>44456.25</v>
      </c>
      <c r="AV214" s="301">
        <f t="shared" si="201"/>
        <v>40751.5625</v>
      </c>
      <c r="AW214" s="301">
        <f t="shared" si="201"/>
        <v>37046.875</v>
      </c>
      <c r="AX214" s="301">
        <f t="shared" si="201"/>
        <v>33342.1875</v>
      </c>
      <c r="AY214" s="301">
        <f t="shared" si="201"/>
        <v>29637.5</v>
      </c>
      <c r="AZ214" s="301">
        <f t="shared" si="201"/>
        <v>25932.8125</v>
      </c>
      <c r="BA214" s="301">
        <f t="shared" si="201"/>
        <v>22228.125</v>
      </c>
      <c r="BB214" s="301">
        <f t="shared" si="201"/>
        <v>18523.4375</v>
      </c>
      <c r="BC214" s="301">
        <f t="shared" si="201"/>
        <v>14818.75</v>
      </c>
      <c r="BD214" s="301">
        <f t="shared" si="201"/>
        <v>11114.0625</v>
      </c>
      <c r="BE214" s="301">
        <f t="shared" si="201"/>
        <v>7409.375</v>
      </c>
      <c r="BF214" s="301">
        <f t="shared" si="201"/>
        <v>3704.6875</v>
      </c>
      <c r="BG214" s="301">
        <f t="shared" si="201"/>
        <v>0</v>
      </c>
      <c r="BH214" s="301">
        <f t="shared" si="201"/>
        <v>0</v>
      </c>
      <c r="BI214" s="301">
        <f t="shared" si="201"/>
        <v>0</v>
      </c>
      <c r="BJ214" s="301">
        <f t="shared" si="201"/>
        <v>0</v>
      </c>
      <c r="BK214" s="301">
        <f t="shared" si="201"/>
        <v>0</v>
      </c>
      <c r="BL214" s="301">
        <f t="shared" si="201"/>
        <v>0</v>
      </c>
      <c r="BM214" s="301">
        <f t="shared" si="201"/>
        <v>0</v>
      </c>
      <c r="BN214" s="301">
        <f t="shared" si="201"/>
        <v>0</v>
      </c>
      <c r="BO214" s="301">
        <f t="shared" si="201"/>
        <v>0</v>
      </c>
      <c r="BP214" s="301">
        <f t="shared" si="201"/>
        <v>0</v>
      </c>
      <c r="BQ214" s="301">
        <f t="shared" si="201"/>
        <v>0</v>
      </c>
      <c r="BR214" s="301">
        <f t="shared" si="201"/>
        <v>0</v>
      </c>
      <c r="BS214" s="75"/>
    </row>
    <row r="215" ht="13.5" customHeight="1">
      <c r="A215" s="80"/>
      <c r="B215" s="92" t="str">
        <f>"Expenditure - Year "&amp;D215</f>
        <v>Expenditure - Year 1</v>
      </c>
      <c r="C215" s="323" t="str">
        <f>Expense</f>
        <v>Expense</v>
      </c>
      <c r="D215" s="317">
        <f t="shared" ref="D215:D217" si="203">D214</f>
        <v>1</v>
      </c>
      <c r="E215" s="123">
        <f t="shared" ref="E215:I215" si="202">SUMIF($K$2:$BR$2,E$1,$K215:$BR215)</f>
        <v>177825</v>
      </c>
      <c r="F215" s="123">
        <f t="shared" si="202"/>
        <v>0</v>
      </c>
      <c r="G215" s="123">
        <f t="shared" si="202"/>
        <v>0</v>
      </c>
      <c r="H215" s="123">
        <f t="shared" si="202"/>
        <v>0</v>
      </c>
      <c r="I215" s="123">
        <f t="shared" si="202"/>
        <v>0</v>
      </c>
      <c r="J215" s="314"/>
      <c r="K215" s="123">
        <f t="array" ref="K215">IF(AND(K$2&lt;&gt;J$2,K$2=$D215),INDEX(Fixed_Assets,$D215),0)</f>
        <v>177825</v>
      </c>
      <c r="L215" s="123">
        <f t="array" ref="L215">IF(AND(L$2&lt;&gt;K$2,L$2=$D215),INDEX(Fixed_Assets,$D215),0)</f>
        <v>0</v>
      </c>
      <c r="M215" s="123">
        <f t="array" ref="M215">IF(AND(M$2&lt;&gt;L$2,M$2=$D215),INDEX(Fixed_Assets,$D215),0)</f>
        <v>0</v>
      </c>
      <c r="N215" s="123">
        <f t="array" ref="N215">IF(AND(N$2&lt;&gt;M$2,N$2=$D215),INDEX(Fixed_Assets,$D215),0)</f>
        <v>0</v>
      </c>
      <c r="O215" s="123">
        <f t="array" ref="O215">IF(AND(O$2&lt;&gt;N$2,O$2=$D215),INDEX(Fixed_Assets,$D215),0)</f>
        <v>0</v>
      </c>
      <c r="P215" s="123">
        <f t="array" ref="P215">IF(AND(P$2&lt;&gt;O$2,P$2=$D215),INDEX(Fixed_Assets,$D215),0)</f>
        <v>0</v>
      </c>
      <c r="Q215" s="123">
        <f t="array" ref="Q215">IF(AND(Q$2&lt;&gt;P$2,Q$2=$D215),INDEX(Fixed_Assets,$D215),0)</f>
        <v>0</v>
      </c>
      <c r="R215" s="123">
        <f t="array" ref="R215">IF(AND(R$2&lt;&gt;Q$2,R$2=$D215),INDEX(Fixed_Assets,$D215),0)</f>
        <v>0</v>
      </c>
      <c r="S215" s="123">
        <f t="array" ref="S215">IF(AND(S$2&lt;&gt;R$2,S$2=$D215),INDEX(Fixed_Assets,$D215),0)</f>
        <v>0</v>
      </c>
      <c r="T215" s="123">
        <f t="array" ref="T215">IF(AND(T$2&lt;&gt;S$2,T$2=$D215),INDEX(Fixed_Assets,$D215),0)</f>
        <v>0</v>
      </c>
      <c r="U215" s="123">
        <f t="array" ref="U215">IF(AND(U$2&lt;&gt;T$2,U$2=$D215),INDEX(Fixed_Assets,$D215),0)</f>
        <v>0</v>
      </c>
      <c r="V215" s="123">
        <f t="array" ref="V215">IF(AND(V$2&lt;&gt;U$2,V$2=$D215),INDEX(Fixed_Assets,$D215),0)</f>
        <v>0</v>
      </c>
      <c r="W215" s="123">
        <f t="array" ref="W215">IF(AND(W$2&lt;&gt;V$2,W$2=$D215),INDEX(Fixed_Assets,$D215),0)</f>
        <v>0</v>
      </c>
      <c r="X215" s="123">
        <f t="array" ref="X215">IF(AND(X$2&lt;&gt;W$2,X$2=$D215),INDEX(Fixed_Assets,$D215),0)</f>
        <v>0</v>
      </c>
      <c r="Y215" s="123">
        <f t="array" ref="Y215">IF(AND(Y$2&lt;&gt;X$2,Y$2=$D215),INDEX(Fixed_Assets,$D215),0)</f>
        <v>0</v>
      </c>
      <c r="Z215" s="123">
        <f t="array" ref="Z215">IF(AND(Z$2&lt;&gt;Y$2,Z$2=$D215),INDEX(Fixed_Assets,$D215),0)</f>
        <v>0</v>
      </c>
      <c r="AA215" s="123">
        <f t="array" ref="AA215">IF(AND(AA$2&lt;&gt;Z$2,AA$2=$D215),INDEX(Fixed_Assets,$D215),0)</f>
        <v>0</v>
      </c>
      <c r="AB215" s="123">
        <f t="array" ref="AB215">IF(AND(AB$2&lt;&gt;AA$2,AB$2=$D215),INDEX(Fixed_Assets,$D215),0)</f>
        <v>0</v>
      </c>
      <c r="AC215" s="123">
        <f t="array" ref="AC215">IF(AND(AC$2&lt;&gt;AB$2,AC$2=$D215),INDEX(Fixed_Assets,$D215),0)</f>
        <v>0</v>
      </c>
      <c r="AD215" s="123">
        <f t="array" ref="AD215">IF(AND(AD$2&lt;&gt;AC$2,AD$2=$D215),INDEX(Fixed_Assets,$D215),0)</f>
        <v>0</v>
      </c>
      <c r="AE215" s="123">
        <f t="array" ref="AE215">IF(AND(AE$2&lt;&gt;AD$2,AE$2=$D215),INDEX(Fixed_Assets,$D215),0)</f>
        <v>0</v>
      </c>
      <c r="AF215" s="123">
        <f t="array" ref="AF215">IF(AND(AF$2&lt;&gt;AE$2,AF$2=$D215),INDEX(Fixed_Assets,$D215),0)</f>
        <v>0</v>
      </c>
      <c r="AG215" s="123">
        <f t="array" ref="AG215">IF(AND(AG$2&lt;&gt;AF$2,AG$2=$D215),INDEX(Fixed_Assets,$D215),0)</f>
        <v>0</v>
      </c>
      <c r="AH215" s="123">
        <f t="array" ref="AH215">IF(AND(AH$2&lt;&gt;AG$2,AH$2=$D215),INDEX(Fixed_Assets,$D215),0)</f>
        <v>0</v>
      </c>
      <c r="AI215" s="123">
        <f t="array" ref="AI215">IF(AND(AI$2&lt;&gt;AH$2,AI$2=$D215),INDEX(Fixed_Assets,$D215),0)</f>
        <v>0</v>
      </c>
      <c r="AJ215" s="123">
        <f t="array" ref="AJ215">IF(AND(AJ$2&lt;&gt;AI$2,AJ$2=$D215),INDEX(Fixed_Assets,$D215),0)</f>
        <v>0</v>
      </c>
      <c r="AK215" s="123">
        <f t="array" ref="AK215">IF(AND(AK$2&lt;&gt;AJ$2,AK$2=$D215),INDEX(Fixed_Assets,$D215),0)</f>
        <v>0</v>
      </c>
      <c r="AL215" s="123">
        <f t="array" ref="AL215">IF(AND(AL$2&lt;&gt;AK$2,AL$2=$D215),INDEX(Fixed_Assets,$D215),0)</f>
        <v>0</v>
      </c>
      <c r="AM215" s="123">
        <f t="array" ref="AM215">IF(AND(AM$2&lt;&gt;AL$2,AM$2=$D215),INDEX(Fixed_Assets,$D215),0)</f>
        <v>0</v>
      </c>
      <c r="AN215" s="123">
        <f t="array" ref="AN215">IF(AND(AN$2&lt;&gt;AM$2,AN$2=$D215),INDEX(Fixed_Assets,$D215),0)</f>
        <v>0</v>
      </c>
      <c r="AO215" s="123">
        <f t="array" ref="AO215">IF(AND(AO$2&lt;&gt;AN$2,AO$2=$D215),INDEX(Fixed_Assets,$D215),0)</f>
        <v>0</v>
      </c>
      <c r="AP215" s="123">
        <f t="array" ref="AP215">IF(AND(AP$2&lt;&gt;AO$2,AP$2=$D215),INDEX(Fixed_Assets,$D215),0)</f>
        <v>0</v>
      </c>
      <c r="AQ215" s="123">
        <f t="array" ref="AQ215">IF(AND(AQ$2&lt;&gt;AP$2,AQ$2=$D215),INDEX(Fixed_Assets,$D215),0)</f>
        <v>0</v>
      </c>
      <c r="AR215" s="123">
        <f t="array" ref="AR215">IF(AND(AR$2&lt;&gt;AQ$2,AR$2=$D215),INDEX(Fixed_Assets,$D215),0)</f>
        <v>0</v>
      </c>
      <c r="AS215" s="123">
        <f t="array" ref="AS215">IF(AND(AS$2&lt;&gt;AR$2,AS$2=$D215),INDEX(Fixed_Assets,$D215),0)</f>
        <v>0</v>
      </c>
      <c r="AT215" s="123">
        <f t="array" ref="AT215">IF(AND(AT$2&lt;&gt;AS$2,AT$2=$D215),INDEX(Fixed_Assets,$D215),0)</f>
        <v>0</v>
      </c>
      <c r="AU215" s="123">
        <f t="array" ref="AU215">IF(AND(AU$2&lt;&gt;AT$2,AU$2=$D215),INDEX(Fixed_Assets,$D215),0)</f>
        <v>0</v>
      </c>
      <c r="AV215" s="123">
        <f t="array" ref="AV215">IF(AND(AV$2&lt;&gt;AU$2,AV$2=$D215),INDEX(Fixed_Assets,$D215),0)</f>
        <v>0</v>
      </c>
      <c r="AW215" s="123">
        <f t="array" ref="AW215">IF(AND(AW$2&lt;&gt;AV$2,AW$2=$D215),INDEX(Fixed_Assets,$D215),0)</f>
        <v>0</v>
      </c>
      <c r="AX215" s="123">
        <f t="array" ref="AX215">IF(AND(AX$2&lt;&gt;AW$2,AX$2=$D215),INDEX(Fixed_Assets,$D215),0)</f>
        <v>0</v>
      </c>
      <c r="AY215" s="123">
        <f t="array" ref="AY215">IF(AND(AY$2&lt;&gt;AX$2,AY$2=$D215),INDEX(Fixed_Assets,$D215),0)</f>
        <v>0</v>
      </c>
      <c r="AZ215" s="123">
        <f t="array" ref="AZ215">IF(AND(AZ$2&lt;&gt;AY$2,AZ$2=$D215),INDEX(Fixed_Assets,$D215),0)</f>
        <v>0</v>
      </c>
      <c r="BA215" s="123">
        <f t="array" ref="BA215">IF(AND(BA$2&lt;&gt;AZ$2,BA$2=$D215),INDEX(Fixed_Assets,$D215),0)</f>
        <v>0</v>
      </c>
      <c r="BB215" s="123">
        <f t="array" ref="BB215">IF(AND(BB$2&lt;&gt;BA$2,BB$2=$D215),INDEX(Fixed_Assets,$D215),0)</f>
        <v>0</v>
      </c>
      <c r="BC215" s="123">
        <f t="array" ref="BC215">IF(AND(BC$2&lt;&gt;BB$2,BC$2=$D215),INDEX(Fixed_Assets,$D215),0)</f>
        <v>0</v>
      </c>
      <c r="BD215" s="123">
        <f t="array" ref="BD215">IF(AND(BD$2&lt;&gt;BC$2,BD$2=$D215),INDEX(Fixed_Assets,$D215),0)</f>
        <v>0</v>
      </c>
      <c r="BE215" s="123">
        <f t="array" ref="BE215">IF(AND(BE$2&lt;&gt;BD$2,BE$2=$D215),INDEX(Fixed_Assets,$D215),0)</f>
        <v>0</v>
      </c>
      <c r="BF215" s="123">
        <f t="array" ref="BF215">IF(AND(BF$2&lt;&gt;BE$2,BF$2=$D215),INDEX(Fixed_Assets,$D215),0)</f>
        <v>0</v>
      </c>
      <c r="BG215" s="123">
        <f t="array" ref="BG215">IF(AND(BG$2&lt;&gt;BF$2,BG$2=$D215),INDEX(Fixed_Assets,$D215),0)</f>
        <v>0</v>
      </c>
      <c r="BH215" s="123">
        <f t="array" ref="BH215">IF(AND(BH$2&lt;&gt;BG$2,BH$2=$D215),INDEX(Fixed_Assets,$D215),0)</f>
        <v>0</v>
      </c>
      <c r="BI215" s="123">
        <f t="array" ref="BI215">IF(AND(BI$2&lt;&gt;BH$2,BI$2=$D215),INDEX(Fixed_Assets,$D215),0)</f>
        <v>0</v>
      </c>
      <c r="BJ215" s="123">
        <f t="array" ref="BJ215">IF(AND(BJ$2&lt;&gt;BI$2,BJ$2=$D215),INDEX(Fixed_Assets,$D215),0)</f>
        <v>0</v>
      </c>
      <c r="BK215" s="123">
        <f t="array" ref="BK215">IF(AND(BK$2&lt;&gt;BJ$2,BK$2=$D215),INDEX(Fixed_Assets,$D215),0)</f>
        <v>0</v>
      </c>
      <c r="BL215" s="123">
        <f t="array" ref="BL215">IF(AND(BL$2&lt;&gt;BK$2,BL$2=$D215),INDEX(Fixed_Assets,$D215),0)</f>
        <v>0</v>
      </c>
      <c r="BM215" s="123">
        <f t="array" ref="BM215">IF(AND(BM$2&lt;&gt;BL$2,BM$2=$D215),INDEX(Fixed_Assets,$D215),0)</f>
        <v>0</v>
      </c>
      <c r="BN215" s="123">
        <f t="array" ref="BN215">IF(AND(BN$2&lt;&gt;BM$2,BN$2=$D215),INDEX(Fixed_Assets,$D215),0)</f>
        <v>0</v>
      </c>
      <c r="BO215" s="123">
        <f t="array" ref="BO215">IF(AND(BO$2&lt;&gt;BN$2,BO$2=$D215),INDEX(Fixed_Assets,$D215),0)</f>
        <v>0</v>
      </c>
      <c r="BP215" s="123">
        <f t="array" ref="BP215">IF(AND(BP$2&lt;&gt;BO$2,BP$2=$D215),INDEX(Fixed_Assets,$D215),0)</f>
        <v>0</v>
      </c>
      <c r="BQ215" s="123">
        <f t="array" ref="BQ215">IF(AND(BQ$2&lt;&gt;BP$2,BQ$2=$D215),INDEX(Fixed_Assets,$D215),0)</f>
        <v>0</v>
      </c>
      <c r="BR215" s="123">
        <f t="array" ref="BR215">IF(AND(BR$2&lt;&gt;BQ$2,BR$2=$D215),INDEX(Fixed_Assets,$D215),0)</f>
        <v>0</v>
      </c>
      <c r="BS215" s="92"/>
    </row>
    <row r="216" ht="13.5" customHeight="1">
      <c r="A216" s="80"/>
      <c r="B216" s="92" t="str">
        <f>"Depreciation - Year "&amp;D216</f>
        <v>Depreciation - Year 1</v>
      </c>
      <c r="C216" s="323" t="str">
        <f>Depreciation</f>
        <v>Depreciation</v>
      </c>
      <c r="D216" s="317">
        <f t="shared" si="203"/>
        <v>1</v>
      </c>
      <c r="E216" s="123">
        <f t="shared" ref="E216:I216" si="204">SUMIF($K$2:$BR$2,E$1,$K216:$BR216)</f>
        <v>-44456.25</v>
      </c>
      <c r="F216" s="123">
        <f t="shared" si="204"/>
        <v>-44456.25</v>
      </c>
      <c r="G216" s="123">
        <f t="shared" si="204"/>
        <v>-44456.25</v>
      </c>
      <c r="H216" s="123">
        <f t="shared" si="204"/>
        <v>-44456.25</v>
      </c>
      <c r="I216" s="123">
        <f t="shared" si="204"/>
        <v>0</v>
      </c>
      <c r="J216" s="314"/>
      <c r="K216" s="123">
        <f>IF(AND(J216&lt;&gt;0,ROUND(K214,0)=0),-K214,IF(K215=0,J216,-(K215*Depreciation_Rate)/12))</f>
        <v>-3704.6875</v>
      </c>
      <c r="L216" s="123">
        <f>IF(AND(K216&lt;&gt;0,ROUND(L214,0)=0),-L214,IF(L215=0,K216,-(L215*Depreciation_Rate)/12))</f>
        <v>-3704.6875</v>
      </c>
      <c r="M216" s="123">
        <f>IF(AND(L216&lt;&gt;0,ROUND(M214,0)=0),-M214,IF(M215=0,L216,-(M215*Depreciation_Rate)/12))</f>
        <v>-3704.6875</v>
      </c>
      <c r="N216" s="123">
        <f>IF(AND(M216&lt;&gt;0,ROUND(N214,0)=0),-N214,IF(N215=0,M216,-(N215*Depreciation_Rate)/12))</f>
        <v>-3704.6875</v>
      </c>
      <c r="O216" s="123">
        <f>IF(AND(N216&lt;&gt;0,ROUND(O214,0)=0),-O214,IF(O215=0,N216,-(O215*Depreciation_Rate)/12))</f>
        <v>-3704.6875</v>
      </c>
      <c r="P216" s="123">
        <f>IF(AND(O216&lt;&gt;0,ROUND(P214,0)=0),-P214,IF(P215=0,O216,-(P215*Depreciation_Rate)/12))</f>
        <v>-3704.6875</v>
      </c>
      <c r="Q216" s="123">
        <f>IF(AND(P216&lt;&gt;0,ROUND(Q214,0)=0),-Q214,IF(Q215=0,P216,-(Q215*Depreciation_Rate)/12))</f>
        <v>-3704.6875</v>
      </c>
      <c r="R216" s="123">
        <f>IF(AND(Q216&lt;&gt;0,ROUND(R214,0)=0),-R214,IF(R215=0,Q216,-(R215*Depreciation_Rate)/12))</f>
        <v>-3704.6875</v>
      </c>
      <c r="S216" s="123">
        <f>IF(AND(R216&lt;&gt;0,ROUND(S214,0)=0),-S214,IF(S215=0,R216,-(S215*Depreciation_Rate)/12))</f>
        <v>-3704.6875</v>
      </c>
      <c r="T216" s="123">
        <f>IF(AND(S216&lt;&gt;0,ROUND(T214,0)=0),-T214,IF(T215=0,S216,-(T215*Depreciation_Rate)/12))</f>
        <v>-3704.6875</v>
      </c>
      <c r="U216" s="123">
        <f>IF(AND(T216&lt;&gt;0,ROUND(U214,0)=0),-U214,IF(U215=0,T216,-(U215*Depreciation_Rate)/12))</f>
        <v>-3704.6875</v>
      </c>
      <c r="V216" s="123">
        <f>IF(AND(U216&lt;&gt;0,ROUND(V214,0)=0),-V214,IF(V215=0,U216,-(V215*Depreciation_Rate)/12))</f>
        <v>-3704.6875</v>
      </c>
      <c r="W216" s="123">
        <f>IF(AND(V216&lt;&gt;0,ROUND(W214,0)=0),-W214,IF(W215=0,V216,-(W215*Depreciation_Rate)/12))</f>
        <v>-3704.6875</v>
      </c>
      <c r="X216" s="123">
        <f>IF(AND(W216&lt;&gt;0,ROUND(X214,0)=0),-X214,IF(X215=0,W216,-(X215*Depreciation_Rate)/12))</f>
        <v>-3704.6875</v>
      </c>
      <c r="Y216" s="123">
        <f>IF(AND(X216&lt;&gt;0,ROUND(Y214,0)=0),-Y214,IF(Y215=0,X216,-(Y215*Depreciation_Rate)/12))</f>
        <v>-3704.6875</v>
      </c>
      <c r="Z216" s="123">
        <f>IF(AND(Y216&lt;&gt;0,ROUND(Z214,0)=0),-Z214,IF(Z215=0,Y216,-(Z215*Depreciation_Rate)/12))</f>
        <v>-3704.6875</v>
      </c>
      <c r="AA216" s="123">
        <f>IF(AND(Z216&lt;&gt;0,ROUND(AA214,0)=0),-AA214,IF(AA215=0,Z216,-(AA215*Depreciation_Rate)/12))</f>
        <v>-3704.6875</v>
      </c>
      <c r="AB216" s="123">
        <f>IF(AND(AA216&lt;&gt;0,ROUND(AB214,0)=0),-AB214,IF(AB215=0,AA216,-(AB215*Depreciation_Rate)/12))</f>
        <v>-3704.6875</v>
      </c>
      <c r="AC216" s="123">
        <f>IF(AND(AB216&lt;&gt;0,ROUND(AC214,0)=0),-AC214,IF(AC215=0,AB216,-(AC215*Depreciation_Rate)/12))</f>
        <v>-3704.6875</v>
      </c>
      <c r="AD216" s="123">
        <f>IF(AND(AC216&lt;&gt;0,ROUND(AD214,0)=0),-AD214,IF(AD215=0,AC216,-(AD215*Depreciation_Rate)/12))</f>
        <v>-3704.6875</v>
      </c>
      <c r="AE216" s="123">
        <f>IF(AND(AD216&lt;&gt;0,ROUND(AE214,0)=0),-AE214,IF(AE215=0,AD216,-(AE215*Depreciation_Rate)/12))</f>
        <v>-3704.6875</v>
      </c>
      <c r="AF216" s="123">
        <f>IF(AND(AE216&lt;&gt;0,ROUND(AF214,0)=0),-AF214,IF(AF215=0,AE216,-(AF215*Depreciation_Rate)/12))</f>
        <v>-3704.6875</v>
      </c>
      <c r="AG216" s="123">
        <f>IF(AND(AF216&lt;&gt;0,ROUND(AG214,0)=0),-AG214,IF(AG215=0,AF216,-(AG215*Depreciation_Rate)/12))</f>
        <v>-3704.6875</v>
      </c>
      <c r="AH216" s="123">
        <f>IF(AND(AG216&lt;&gt;0,ROUND(AH214,0)=0),-AH214,IF(AH215=0,AG216,-(AH215*Depreciation_Rate)/12))</f>
        <v>-3704.6875</v>
      </c>
      <c r="AI216" s="123">
        <f>IF(AND(AH216&lt;&gt;0,ROUND(AI214,0)=0),-AI214,IF(AI215=0,AH216,-(AI215*Depreciation_Rate)/12))</f>
        <v>-3704.6875</v>
      </c>
      <c r="AJ216" s="123">
        <f>IF(AND(AI216&lt;&gt;0,ROUND(AJ214,0)=0),-AJ214,IF(AJ215=0,AI216,-(AJ215*Depreciation_Rate)/12))</f>
        <v>-3704.6875</v>
      </c>
      <c r="AK216" s="123">
        <f>IF(AND(AJ216&lt;&gt;0,ROUND(AK214,0)=0),-AK214,IF(AK215=0,AJ216,-(AK215*Depreciation_Rate)/12))</f>
        <v>-3704.6875</v>
      </c>
      <c r="AL216" s="123">
        <f>IF(AND(AK216&lt;&gt;0,ROUND(AL214,0)=0),-AL214,IF(AL215=0,AK216,-(AL215*Depreciation_Rate)/12))</f>
        <v>-3704.6875</v>
      </c>
      <c r="AM216" s="123">
        <f>IF(AND(AL216&lt;&gt;0,ROUND(AM214,0)=0),-AM214,IF(AM215=0,AL216,-(AM215*Depreciation_Rate)/12))</f>
        <v>-3704.6875</v>
      </c>
      <c r="AN216" s="123">
        <f>IF(AND(AM216&lt;&gt;0,ROUND(AN214,0)=0),-AN214,IF(AN215=0,AM216,-(AN215*Depreciation_Rate)/12))</f>
        <v>-3704.6875</v>
      </c>
      <c r="AO216" s="123">
        <f>IF(AND(AN216&lt;&gt;0,ROUND(AO214,0)=0),-AO214,IF(AO215=0,AN216,-(AO215*Depreciation_Rate)/12))</f>
        <v>-3704.6875</v>
      </c>
      <c r="AP216" s="123">
        <f>IF(AND(AO216&lt;&gt;0,ROUND(AP214,0)=0),-AP214,IF(AP215=0,AO216,-(AP215*Depreciation_Rate)/12))</f>
        <v>-3704.6875</v>
      </c>
      <c r="AQ216" s="123">
        <f>IF(AND(AP216&lt;&gt;0,ROUND(AQ214,0)=0),-AQ214,IF(AQ215=0,AP216,-(AQ215*Depreciation_Rate)/12))</f>
        <v>-3704.6875</v>
      </c>
      <c r="AR216" s="123">
        <f>IF(AND(AQ216&lt;&gt;0,ROUND(AR214,0)=0),-AR214,IF(AR215=0,AQ216,-(AR215*Depreciation_Rate)/12))</f>
        <v>-3704.6875</v>
      </c>
      <c r="AS216" s="123">
        <f>IF(AND(AR216&lt;&gt;0,ROUND(AS214,0)=0),-AS214,IF(AS215=0,AR216,-(AS215*Depreciation_Rate)/12))</f>
        <v>-3704.6875</v>
      </c>
      <c r="AT216" s="123">
        <f>IF(AND(AS216&lt;&gt;0,ROUND(AT214,0)=0),-AT214,IF(AT215=0,AS216,-(AT215*Depreciation_Rate)/12))</f>
        <v>-3704.6875</v>
      </c>
      <c r="AU216" s="123">
        <f>IF(AND(AT216&lt;&gt;0,ROUND(AU214,0)=0),-AU214,IF(AU215=0,AT216,-(AU215*Depreciation_Rate)/12))</f>
        <v>-3704.6875</v>
      </c>
      <c r="AV216" s="123">
        <f>IF(AND(AU216&lt;&gt;0,ROUND(AV214,0)=0),-AV214,IF(AV215=0,AU216,-(AV215*Depreciation_Rate)/12))</f>
        <v>-3704.6875</v>
      </c>
      <c r="AW216" s="123">
        <f>IF(AND(AV216&lt;&gt;0,ROUND(AW214,0)=0),-AW214,IF(AW215=0,AV216,-(AW215*Depreciation_Rate)/12))</f>
        <v>-3704.6875</v>
      </c>
      <c r="AX216" s="123">
        <f>IF(AND(AW216&lt;&gt;0,ROUND(AX214,0)=0),-AX214,IF(AX215=0,AW216,-(AX215*Depreciation_Rate)/12))</f>
        <v>-3704.6875</v>
      </c>
      <c r="AY216" s="123">
        <f>IF(AND(AX216&lt;&gt;0,ROUND(AY214,0)=0),-AY214,IF(AY215=0,AX216,-(AY215*Depreciation_Rate)/12))</f>
        <v>-3704.6875</v>
      </c>
      <c r="AZ216" s="123">
        <f>IF(AND(AY216&lt;&gt;0,ROUND(AZ214,0)=0),-AZ214,IF(AZ215=0,AY216,-(AZ215*Depreciation_Rate)/12))</f>
        <v>-3704.6875</v>
      </c>
      <c r="BA216" s="123">
        <f>IF(AND(AZ216&lt;&gt;0,ROUND(BA214,0)=0),-BA214,IF(BA215=0,AZ216,-(BA215*Depreciation_Rate)/12))</f>
        <v>-3704.6875</v>
      </c>
      <c r="BB216" s="123">
        <f>IF(AND(BA216&lt;&gt;0,ROUND(BB214,0)=0),-BB214,IF(BB215=0,BA216,-(BB215*Depreciation_Rate)/12))</f>
        <v>-3704.6875</v>
      </c>
      <c r="BC216" s="123">
        <f>IF(AND(BB216&lt;&gt;0,ROUND(BC214,0)=0),-BC214,IF(BC215=0,BB216,-(BC215*Depreciation_Rate)/12))</f>
        <v>-3704.6875</v>
      </c>
      <c r="BD216" s="123">
        <f>IF(AND(BC216&lt;&gt;0,ROUND(BD214,0)=0),-BD214,IF(BD215=0,BC216,-(BD215*Depreciation_Rate)/12))</f>
        <v>-3704.6875</v>
      </c>
      <c r="BE216" s="123">
        <f>IF(AND(BD216&lt;&gt;0,ROUND(BE214,0)=0),-BE214,IF(BE215=0,BD216,-(BE215*Depreciation_Rate)/12))</f>
        <v>-3704.6875</v>
      </c>
      <c r="BF216" s="123">
        <f>IF(AND(BE216&lt;&gt;0,ROUND(BF214,0)=0),-BF214,IF(BF215=0,BE216,-(BF215*Depreciation_Rate)/12))</f>
        <v>-3704.6875</v>
      </c>
      <c r="BG216" s="123">
        <f>IF(AND(BF216&lt;&gt;0,ROUND(BG214,0)=0),-BG214,IF(BG215=0,BF216,-(BG215*Depreciation_Rate)/12))</f>
        <v>0</v>
      </c>
      <c r="BH216" s="123">
        <f>IF(AND(BG216&lt;&gt;0,ROUND(BH214,0)=0),-BH214,IF(BH215=0,BG216,-(BH215*Depreciation_Rate)/12))</f>
        <v>0</v>
      </c>
      <c r="BI216" s="123">
        <f>IF(AND(BH216&lt;&gt;0,ROUND(BI214,0)=0),-BI214,IF(BI215=0,BH216,-(BI215*Depreciation_Rate)/12))</f>
        <v>0</v>
      </c>
      <c r="BJ216" s="123">
        <f>IF(AND(BI216&lt;&gt;0,ROUND(BJ214,0)=0),-BJ214,IF(BJ215=0,BI216,-(BJ215*Depreciation_Rate)/12))</f>
        <v>0</v>
      </c>
      <c r="BK216" s="123">
        <f>IF(AND(BJ216&lt;&gt;0,ROUND(BK214,0)=0),-BK214,IF(BK215=0,BJ216,-(BK215*Depreciation_Rate)/12))</f>
        <v>0</v>
      </c>
      <c r="BL216" s="123">
        <f>IF(AND(BK216&lt;&gt;0,ROUND(BL214,0)=0),-BL214,IF(BL215=0,BK216,-(BL215*Depreciation_Rate)/12))</f>
        <v>0</v>
      </c>
      <c r="BM216" s="123">
        <f>IF(AND(BL216&lt;&gt;0,ROUND(BM214,0)=0),-BM214,IF(BM215=0,BL216,-(BM215*Depreciation_Rate)/12))</f>
        <v>0</v>
      </c>
      <c r="BN216" s="123">
        <f>IF(AND(BM216&lt;&gt;0,ROUND(BN214,0)=0),-BN214,IF(BN215=0,BM216,-(BN215*Depreciation_Rate)/12))</f>
        <v>0</v>
      </c>
      <c r="BO216" s="123">
        <f>IF(AND(BN216&lt;&gt;0,ROUND(BO214,0)=0),-BO214,IF(BO215=0,BN216,-(BO215*Depreciation_Rate)/12))</f>
        <v>0</v>
      </c>
      <c r="BP216" s="123">
        <f>IF(AND(BO216&lt;&gt;0,ROUND(BP214,0)=0),-BP214,IF(BP215=0,BO216,-(BP215*Depreciation_Rate)/12))</f>
        <v>0</v>
      </c>
      <c r="BQ216" s="123">
        <f>IF(AND(BP216&lt;&gt;0,ROUND(BQ214,0)=0),-BQ214,IF(BQ215=0,BP216,-(BQ215*Depreciation_Rate)/12))</f>
        <v>0</v>
      </c>
      <c r="BR216" s="123">
        <f>IF(AND(BQ216&lt;&gt;0,ROUND(BR214,0)=0),-BR214,IF(BR215=0,BQ216,-(BR215*Depreciation_Rate)/12))</f>
        <v>0</v>
      </c>
      <c r="BS216" s="92"/>
    </row>
    <row r="217" ht="13.5" customHeight="1">
      <c r="A217" s="80"/>
      <c r="B217" s="92" t="s">
        <v>366</v>
      </c>
      <c r="C217" s="323" t="str">
        <f>Closing</f>
        <v>Closing</v>
      </c>
      <c r="D217" s="317">
        <f t="shared" si="203"/>
        <v>1</v>
      </c>
      <c r="E217" s="123">
        <f t="shared" ref="E217:I217" si="205">INDEX($K217:$BR217,,MATCH(E$1,$K$2:$BR$2,0)+11)</f>
        <v>133368.75</v>
      </c>
      <c r="F217" s="123">
        <f t="shared" si="205"/>
        <v>88912.5</v>
      </c>
      <c r="G217" s="123">
        <f t="shared" si="205"/>
        <v>44456.25</v>
      </c>
      <c r="H217" s="123">
        <f t="shared" si="205"/>
        <v>0</v>
      </c>
      <c r="I217" s="123">
        <f t="shared" si="205"/>
        <v>0</v>
      </c>
      <c r="J217" s="314"/>
      <c r="K217" s="123">
        <f t="shared" ref="K217:BR217" si="206">SUM(K214:K216)</f>
        <v>174120.3125</v>
      </c>
      <c r="L217" s="123">
        <f t="shared" si="206"/>
        <v>170415.625</v>
      </c>
      <c r="M217" s="123">
        <f t="shared" si="206"/>
        <v>166710.9375</v>
      </c>
      <c r="N217" s="123">
        <f t="shared" si="206"/>
        <v>163006.25</v>
      </c>
      <c r="O217" s="123">
        <f t="shared" si="206"/>
        <v>159301.5625</v>
      </c>
      <c r="P217" s="123">
        <f t="shared" si="206"/>
        <v>155596.875</v>
      </c>
      <c r="Q217" s="123">
        <f t="shared" si="206"/>
        <v>151892.1875</v>
      </c>
      <c r="R217" s="123">
        <f t="shared" si="206"/>
        <v>148187.5</v>
      </c>
      <c r="S217" s="123">
        <f t="shared" si="206"/>
        <v>144482.8125</v>
      </c>
      <c r="T217" s="123">
        <f t="shared" si="206"/>
        <v>140778.125</v>
      </c>
      <c r="U217" s="123">
        <f t="shared" si="206"/>
        <v>137073.4375</v>
      </c>
      <c r="V217" s="123">
        <f t="shared" si="206"/>
        <v>133368.75</v>
      </c>
      <c r="W217" s="123">
        <f t="shared" si="206"/>
        <v>129664.0625</v>
      </c>
      <c r="X217" s="123">
        <f t="shared" si="206"/>
        <v>125959.375</v>
      </c>
      <c r="Y217" s="123">
        <f t="shared" si="206"/>
        <v>122254.6875</v>
      </c>
      <c r="Z217" s="123">
        <f t="shared" si="206"/>
        <v>118550</v>
      </c>
      <c r="AA217" s="123">
        <f t="shared" si="206"/>
        <v>114845.3125</v>
      </c>
      <c r="AB217" s="123">
        <f t="shared" si="206"/>
        <v>111140.625</v>
      </c>
      <c r="AC217" s="123">
        <f t="shared" si="206"/>
        <v>107435.9375</v>
      </c>
      <c r="AD217" s="123">
        <f t="shared" si="206"/>
        <v>103731.25</v>
      </c>
      <c r="AE217" s="123">
        <f t="shared" si="206"/>
        <v>100026.5625</v>
      </c>
      <c r="AF217" s="123">
        <f t="shared" si="206"/>
        <v>96321.875</v>
      </c>
      <c r="AG217" s="123">
        <f t="shared" si="206"/>
        <v>92617.1875</v>
      </c>
      <c r="AH217" s="123">
        <f t="shared" si="206"/>
        <v>88912.5</v>
      </c>
      <c r="AI217" s="123">
        <f t="shared" si="206"/>
        <v>85207.8125</v>
      </c>
      <c r="AJ217" s="123">
        <f t="shared" si="206"/>
        <v>81503.125</v>
      </c>
      <c r="AK217" s="123">
        <f t="shared" si="206"/>
        <v>77798.4375</v>
      </c>
      <c r="AL217" s="123">
        <f t="shared" si="206"/>
        <v>74093.75</v>
      </c>
      <c r="AM217" s="123">
        <f t="shared" si="206"/>
        <v>70389.0625</v>
      </c>
      <c r="AN217" s="123">
        <f t="shared" si="206"/>
        <v>66684.375</v>
      </c>
      <c r="AO217" s="123">
        <f t="shared" si="206"/>
        <v>62979.6875</v>
      </c>
      <c r="AP217" s="123">
        <f t="shared" si="206"/>
        <v>59275</v>
      </c>
      <c r="AQ217" s="123">
        <f t="shared" si="206"/>
        <v>55570.3125</v>
      </c>
      <c r="AR217" s="123">
        <f t="shared" si="206"/>
        <v>51865.625</v>
      </c>
      <c r="AS217" s="123">
        <f t="shared" si="206"/>
        <v>48160.9375</v>
      </c>
      <c r="AT217" s="123">
        <f t="shared" si="206"/>
        <v>44456.25</v>
      </c>
      <c r="AU217" s="123">
        <f t="shared" si="206"/>
        <v>40751.5625</v>
      </c>
      <c r="AV217" s="123">
        <f t="shared" si="206"/>
        <v>37046.875</v>
      </c>
      <c r="AW217" s="123">
        <f t="shared" si="206"/>
        <v>33342.1875</v>
      </c>
      <c r="AX217" s="123">
        <f t="shared" si="206"/>
        <v>29637.5</v>
      </c>
      <c r="AY217" s="123">
        <f t="shared" si="206"/>
        <v>25932.8125</v>
      </c>
      <c r="AZ217" s="123">
        <f t="shared" si="206"/>
        <v>22228.125</v>
      </c>
      <c r="BA217" s="123">
        <f t="shared" si="206"/>
        <v>18523.4375</v>
      </c>
      <c r="BB217" s="123">
        <f t="shared" si="206"/>
        <v>14818.75</v>
      </c>
      <c r="BC217" s="123">
        <f t="shared" si="206"/>
        <v>11114.0625</v>
      </c>
      <c r="BD217" s="123">
        <f t="shared" si="206"/>
        <v>7409.375</v>
      </c>
      <c r="BE217" s="123">
        <f t="shared" si="206"/>
        <v>3704.6875</v>
      </c>
      <c r="BF217" s="123">
        <f t="shared" si="206"/>
        <v>0</v>
      </c>
      <c r="BG217" s="123">
        <f t="shared" si="206"/>
        <v>0</v>
      </c>
      <c r="BH217" s="123">
        <f t="shared" si="206"/>
        <v>0</v>
      </c>
      <c r="BI217" s="123">
        <f t="shared" si="206"/>
        <v>0</v>
      </c>
      <c r="BJ217" s="123">
        <f t="shared" si="206"/>
        <v>0</v>
      </c>
      <c r="BK217" s="123">
        <f t="shared" si="206"/>
        <v>0</v>
      </c>
      <c r="BL217" s="123">
        <f t="shared" si="206"/>
        <v>0</v>
      </c>
      <c r="BM217" s="123">
        <f t="shared" si="206"/>
        <v>0</v>
      </c>
      <c r="BN217" s="123">
        <f t="shared" si="206"/>
        <v>0</v>
      </c>
      <c r="BO217" s="123">
        <f t="shared" si="206"/>
        <v>0</v>
      </c>
      <c r="BP217" s="123">
        <f t="shared" si="206"/>
        <v>0</v>
      </c>
      <c r="BQ217" s="123">
        <f t="shared" si="206"/>
        <v>0</v>
      </c>
      <c r="BR217" s="123">
        <f t="shared" si="206"/>
        <v>0</v>
      </c>
      <c r="BS217" s="92"/>
    </row>
    <row r="218" ht="13.5" customHeight="1">
      <c r="A218" s="80"/>
      <c r="B218" s="92"/>
      <c r="C218" s="323"/>
      <c r="D218" s="317"/>
      <c r="E218" s="123"/>
      <c r="F218" s="123"/>
      <c r="G218" s="123"/>
      <c r="H218" s="123"/>
      <c r="I218" s="123"/>
      <c r="J218" s="314"/>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92"/>
    </row>
    <row r="219" ht="15.75" customHeight="1">
      <c r="A219" s="106"/>
      <c r="B219" s="75" t="s">
        <v>365</v>
      </c>
      <c r="C219" s="323" t="str">
        <f>Opening</f>
        <v>Opening</v>
      </c>
      <c r="D219" s="317">
        <f>D217+1</f>
        <v>2</v>
      </c>
      <c r="E219" s="123" t="str">
        <f t="shared" ref="E219:I219" si="207">INDEX($K219:$BR219,,MATCH(E$1,$K$2:$BR$2,0))</f>
        <v/>
      </c>
      <c r="F219" s="123">
        <f t="shared" si="207"/>
        <v>0</v>
      </c>
      <c r="G219" s="123">
        <f t="shared" si="207"/>
        <v>0</v>
      </c>
      <c r="H219" s="123">
        <f t="shared" si="207"/>
        <v>0</v>
      </c>
      <c r="I219" s="123">
        <f t="shared" si="207"/>
        <v>0</v>
      </c>
      <c r="J219" s="75"/>
      <c r="K219" s="301" t="str">
        <f t="shared" ref="K219:BR219" si="208">J222</f>
        <v/>
      </c>
      <c r="L219" s="301">
        <f t="shared" si="208"/>
        <v>0</v>
      </c>
      <c r="M219" s="301">
        <f t="shared" si="208"/>
        <v>0</v>
      </c>
      <c r="N219" s="301">
        <f t="shared" si="208"/>
        <v>0</v>
      </c>
      <c r="O219" s="301">
        <f t="shared" si="208"/>
        <v>0</v>
      </c>
      <c r="P219" s="301">
        <f t="shared" si="208"/>
        <v>0</v>
      </c>
      <c r="Q219" s="301">
        <f t="shared" si="208"/>
        <v>0</v>
      </c>
      <c r="R219" s="301">
        <f t="shared" si="208"/>
        <v>0</v>
      </c>
      <c r="S219" s="301">
        <f t="shared" si="208"/>
        <v>0</v>
      </c>
      <c r="T219" s="301">
        <f t="shared" si="208"/>
        <v>0</v>
      </c>
      <c r="U219" s="301">
        <f t="shared" si="208"/>
        <v>0</v>
      </c>
      <c r="V219" s="301">
        <f t="shared" si="208"/>
        <v>0</v>
      </c>
      <c r="W219" s="301">
        <f t="shared" si="208"/>
        <v>0</v>
      </c>
      <c r="X219" s="301">
        <f t="shared" si="208"/>
        <v>0</v>
      </c>
      <c r="Y219" s="301">
        <f t="shared" si="208"/>
        <v>0</v>
      </c>
      <c r="Z219" s="301">
        <f t="shared" si="208"/>
        <v>0</v>
      </c>
      <c r="AA219" s="301">
        <f t="shared" si="208"/>
        <v>0</v>
      </c>
      <c r="AB219" s="301">
        <f t="shared" si="208"/>
        <v>0</v>
      </c>
      <c r="AC219" s="301">
        <f t="shared" si="208"/>
        <v>0</v>
      </c>
      <c r="AD219" s="301">
        <f t="shared" si="208"/>
        <v>0</v>
      </c>
      <c r="AE219" s="301">
        <f t="shared" si="208"/>
        <v>0</v>
      </c>
      <c r="AF219" s="301">
        <f t="shared" si="208"/>
        <v>0</v>
      </c>
      <c r="AG219" s="301">
        <f t="shared" si="208"/>
        <v>0</v>
      </c>
      <c r="AH219" s="301">
        <f t="shared" si="208"/>
        <v>0</v>
      </c>
      <c r="AI219" s="301">
        <f t="shared" si="208"/>
        <v>0</v>
      </c>
      <c r="AJ219" s="301">
        <f t="shared" si="208"/>
        <v>0</v>
      </c>
      <c r="AK219" s="301">
        <f t="shared" si="208"/>
        <v>0</v>
      </c>
      <c r="AL219" s="301">
        <f t="shared" si="208"/>
        <v>0</v>
      </c>
      <c r="AM219" s="301">
        <f t="shared" si="208"/>
        <v>0</v>
      </c>
      <c r="AN219" s="301">
        <f t="shared" si="208"/>
        <v>0</v>
      </c>
      <c r="AO219" s="301">
        <f t="shared" si="208"/>
        <v>0</v>
      </c>
      <c r="AP219" s="301">
        <f t="shared" si="208"/>
        <v>0</v>
      </c>
      <c r="AQ219" s="301">
        <f t="shared" si="208"/>
        <v>0</v>
      </c>
      <c r="AR219" s="301">
        <f t="shared" si="208"/>
        <v>0</v>
      </c>
      <c r="AS219" s="301">
        <f t="shared" si="208"/>
        <v>0</v>
      </c>
      <c r="AT219" s="301">
        <f t="shared" si="208"/>
        <v>0</v>
      </c>
      <c r="AU219" s="301">
        <f t="shared" si="208"/>
        <v>0</v>
      </c>
      <c r="AV219" s="301">
        <f t="shared" si="208"/>
        <v>0</v>
      </c>
      <c r="AW219" s="301">
        <f t="shared" si="208"/>
        <v>0</v>
      </c>
      <c r="AX219" s="301">
        <f t="shared" si="208"/>
        <v>0</v>
      </c>
      <c r="AY219" s="301">
        <f t="shared" si="208"/>
        <v>0</v>
      </c>
      <c r="AZ219" s="301">
        <f t="shared" si="208"/>
        <v>0</v>
      </c>
      <c r="BA219" s="301">
        <f t="shared" si="208"/>
        <v>0</v>
      </c>
      <c r="BB219" s="301">
        <f t="shared" si="208"/>
        <v>0</v>
      </c>
      <c r="BC219" s="301">
        <f t="shared" si="208"/>
        <v>0</v>
      </c>
      <c r="BD219" s="301">
        <f t="shared" si="208"/>
        <v>0</v>
      </c>
      <c r="BE219" s="301">
        <f t="shared" si="208"/>
        <v>0</v>
      </c>
      <c r="BF219" s="301">
        <f t="shared" si="208"/>
        <v>0</v>
      </c>
      <c r="BG219" s="301">
        <f t="shared" si="208"/>
        <v>0</v>
      </c>
      <c r="BH219" s="301">
        <f t="shared" si="208"/>
        <v>0</v>
      </c>
      <c r="BI219" s="301">
        <f t="shared" si="208"/>
        <v>0</v>
      </c>
      <c r="BJ219" s="301">
        <f t="shared" si="208"/>
        <v>0</v>
      </c>
      <c r="BK219" s="301">
        <f t="shared" si="208"/>
        <v>0</v>
      </c>
      <c r="BL219" s="301">
        <f t="shared" si="208"/>
        <v>0</v>
      </c>
      <c r="BM219" s="301">
        <f t="shared" si="208"/>
        <v>0</v>
      </c>
      <c r="BN219" s="301">
        <f t="shared" si="208"/>
        <v>0</v>
      </c>
      <c r="BO219" s="301">
        <f t="shared" si="208"/>
        <v>0</v>
      </c>
      <c r="BP219" s="301">
        <f t="shared" si="208"/>
        <v>0</v>
      </c>
      <c r="BQ219" s="301">
        <f t="shared" si="208"/>
        <v>0</v>
      </c>
      <c r="BR219" s="301">
        <f t="shared" si="208"/>
        <v>0</v>
      </c>
      <c r="BS219" s="75"/>
    </row>
    <row r="220" ht="13.5" customHeight="1">
      <c r="A220" s="80"/>
      <c r="B220" s="92" t="str">
        <f>"Expenditure - Year "&amp;D220</f>
        <v>Expenditure - Year 2</v>
      </c>
      <c r="C220" s="323" t="str">
        <f>Expense</f>
        <v>Expense</v>
      </c>
      <c r="D220" s="317">
        <f t="shared" ref="D220:D222" si="210">D219</f>
        <v>2</v>
      </c>
      <c r="E220" s="123">
        <f t="shared" ref="E220:I220" si="209">SUMIF($K$2:$BR$2,E$1,$K220:$BR220)</f>
        <v>0</v>
      </c>
      <c r="F220" s="123">
        <f t="shared" si="209"/>
        <v>0</v>
      </c>
      <c r="G220" s="123">
        <f t="shared" si="209"/>
        <v>0</v>
      </c>
      <c r="H220" s="123">
        <f t="shared" si="209"/>
        <v>0</v>
      </c>
      <c r="I220" s="123">
        <f t="shared" si="209"/>
        <v>0</v>
      </c>
      <c r="J220" s="314"/>
      <c r="K220" s="123">
        <f t="array" ref="K220">IF(AND(K$2&lt;&gt;J$2,K$2=$D220),INDEX(Fixed_Assets,$D220),0)</f>
        <v>0</v>
      </c>
      <c r="L220" s="123">
        <f t="array" ref="L220">IF(AND(L$2&lt;&gt;K$2,L$2=$D220),INDEX(Fixed_Assets,$D220),0)</f>
        <v>0</v>
      </c>
      <c r="M220" s="123">
        <f t="array" ref="M220">IF(AND(M$2&lt;&gt;L$2,M$2=$D220),INDEX(Fixed_Assets,$D220),0)</f>
        <v>0</v>
      </c>
      <c r="N220" s="123">
        <f t="array" ref="N220">IF(AND(N$2&lt;&gt;M$2,N$2=$D220),INDEX(Fixed_Assets,$D220),0)</f>
        <v>0</v>
      </c>
      <c r="O220" s="123">
        <f t="array" ref="O220">IF(AND(O$2&lt;&gt;N$2,O$2=$D220),INDEX(Fixed_Assets,$D220),0)</f>
        <v>0</v>
      </c>
      <c r="P220" s="123">
        <f t="array" ref="P220">IF(AND(P$2&lt;&gt;O$2,P$2=$D220),INDEX(Fixed_Assets,$D220),0)</f>
        <v>0</v>
      </c>
      <c r="Q220" s="123">
        <f t="array" ref="Q220">IF(AND(Q$2&lt;&gt;P$2,Q$2=$D220),INDEX(Fixed_Assets,$D220),0)</f>
        <v>0</v>
      </c>
      <c r="R220" s="123">
        <f t="array" ref="R220">IF(AND(R$2&lt;&gt;Q$2,R$2=$D220),INDEX(Fixed_Assets,$D220),0)</f>
        <v>0</v>
      </c>
      <c r="S220" s="123">
        <f t="array" ref="S220">IF(AND(S$2&lt;&gt;R$2,S$2=$D220),INDEX(Fixed_Assets,$D220),0)</f>
        <v>0</v>
      </c>
      <c r="T220" s="123">
        <f t="array" ref="T220">IF(AND(T$2&lt;&gt;S$2,T$2=$D220),INDEX(Fixed_Assets,$D220),0)</f>
        <v>0</v>
      </c>
      <c r="U220" s="123">
        <f t="array" ref="U220">IF(AND(U$2&lt;&gt;T$2,U$2=$D220),INDEX(Fixed_Assets,$D220),0)</f>
        <v>0</v>
      </c>
      <c r="V220" s="123">
        <f t="array" ref="V220">IF(AND(V$2&lt;&gt;U$2,V$2=$D220),INDEX(Fixed_Assets,$D220),0)</f>
        <v>0</v>
      </c>
      <c r="W220" s="123" t="str">
        <f t="array" ref="W220">IF(AND(W$2&lt;&gt;V$2,W$2=$D220),INDEX(Fixed_Assets,$D220),0)</f>
        <v/>
      </c>
      <c r="X220" s="123">
        <f t="array" ref="X220">IF(AND(X$2&lt;&gt;W$2,X$2=$D220),INDEX(Fixed_Assets,$D220),0)</f>
        <v>0</v>
      </c>
      <c r="Y220" s="123">
        <f t="array" ref="Y220">IF(AND(Y$2&lt;&gt;X$2,Y$2=$D220),INDEX(Fixed_Assets,$D220),0)</f>
        <v>0</v>
      </c>
      <c r="Z220" s="123">
        <f t="array" ref="Z220">IF(AND(Z$2&lt;&gt;Y$2,Z$2=$D220),INDEX(Fixed_Assets,$D220),0)</f>
        <v>0</v>
      </c>
      <c r="AA220" s="123">
        <f t="array" ref="AA220">IF(AND(AA$2&lt;&gt;Z$2,AA$2=$D220),INDEX(Fixed_Assets,$D220),0)</f>
        <v>0</v>
      </c>
      <c r="AB220" s="123">
        <f t="array" ref="AB220">IF(AND(AB$2&lt;&gt;AA$2,AB$2=$D220),INDEX(Fixed_Assets,$D220),0)</f>
        <v>0</v>
      </c>
      <c r="AC220" s="123">
        <f t="array" ref="AC220">IF(AND(AC$2&lt;&gt;AB$2,AC$2=$D220),INDEX(Fixed_Assets,$D220),0)</f>
        <v>0</v>
      </c>
      <c r="AD220" s="123">
        <f t="array" ref="AD220">IF(AND(AD$2&lt;&gt;AC$2,AD$2=$D220),INDEX(Fixed_Assets,$D220),0)</f>
        <v>0</v>
      </c>
      <c r="AE220" s="123">
        <f t="array" ref="AE220">IF(AND(AE$2&lt;&gt;AD$2,AE$2=$D220),INDEX(Fixed_Assets,$D220),0)</f>
        <v>0</v>
      </c>
      <c r="AF220" s="123">
        <f t="array" ref="AF220">IF(AND(AF$2&lt;&gt;AE$2,AF$2=$D220),INDEX(Fixed_Assets,$D220),0)</f>
        <v>0</v>
      </c>
      <c r="AG220" s="123">
        <f t="array" ref="AG220">IF(AND(AG$2&lt;&gt;AF$2,AG$2=$D220),INDEX(Fixed_Assets,$D220),0)</f>
        <v>0</v>
      </c>
      <c r="AH220" s="123">
        <f t="array" ref="AH220">IF(AND(AH$2&lt;&gt;AG$2,AH$2=$D220),INDEX(Fixed_Assets,$D220),0)</f>
        <v>0</v>
      </c>
      <c r="AI220" s="123">
        <f t="array" ref="AI220">IF(AND(AI$2&lt;&gt;AH$2,AI$2=$D220),INDEX(Fixed_Assets,$D220),0)</f>
        <v>0</v>
      </c>
      <c r="AJ220" s="123">
        <f t="array" ref="AJ220">IF(AND(AJ$2&lt;&gt;AI$2,AJ$2=$D220),INDEX(Fixed_Assets,$D220),0)</f>
        <v>0</v>
      </c>
      <c r="AK220" s="123">
        <f t="array" ref="AK220">IF(AND(AK$2&lt;&gt;AJ$2,AK$2=$D220),INDEX(Fixed_Assets,$D220),0)</f>
        <v>0</v>
      </c>
      <c r="AL220" s="123">
        <f t="array" ref="AL220">IF(AND(AL$2&lt;&gt;AK$2,AL$2=$D220),INDEX(Fixed_Assets,$D220),0)</f>
        <v>0</v>
      </c>
      <c r="AM220" s="123">
        <f t="array" ref="AM220">IF(AND(AM$2&lt;&gt;AL$2,AM$2=$D220),INDEX(Fixed_Assets,$D220),0)</f>
        <v>0</v>
      </c>
      <c r="AN220" s="123">
        <f t="array" ref="AN220">IF(AND(AN$2&lt;&gt;AM$2,AN$2=$D220),INDEX(Fixed_Assets,$D220),0)</f>
        <v>0</v>
      </c>
      <c r="AO220" s="123">
        <f t="array" ref="AO220">IF(AND(AO$2&lt;&gt;AN$2,AO$2=$D220),INDEX(Fixed_Assets,$D220),0)</f>
        <v>0</v>
      </c>
      <c r="AP220" s="123">
        <f t="array" ref="AP220">IF(AND(AP$2&lt;&gt;AO$2,AP$2=$D220),INDEX(Fixed_Assets,$D220),0)</f>
        <v>0</v>
      </c>
      <c r="AQ220" s="123">
        <f t="array" ref="AQ220">IF(AND(AQ$2&lt;&gt;AP$2,AQ$2=$D220),INDEX(Fixed_Assets,$D220),0)</f>
        <v>0</v>
      </c>
      <c r="AR220" s="123">
        <f t="array" ref="AR220">IF(AND(AR$2&lt;&gt;AQ$2,AR$2=$D220),INDEX(Fixed_Assets,$D220),0)</f>
        <v>0</v>
      </c>
      <c r="AS220" s="123">
        <f t="array" ref="AS220">IF(AND(AS$2&lt;&gt;AR$2,AS$2=$D220),INDEX(Fixed_Assets,$D220),0)</f>
        <v>0</v>
      </c>
      <c r="AT220" s="123">
        <f t="array" ref="AT220">IF(AND(AT$2&lt;&gt;AS$2,AT$2=$D220),INDEX(Fixed_Assets,$D220),0)</f>
        <v>0</v>
      </c>
      <c r="AU220" s="123">
        <f t="array" ref="AU220">IF(AND(AU$2&lt;&gt;AT$2,AU$2=$D220),INDEX(Fixed_Assets,$D220),0)</f>
        <v>0</v>
      </c>
      <c r="AV220" s="123">
        <f t="array" ref="AV220">IF(AND(AV$2&lt;&gt;AU$2,AV$2=$D220),INDEX(Fixed_Assets,$D220),0)</f>
        <v>0</v>
      </c>
      <c r="AW220" s="123">
        <f t="array" ref="AW220">IF(AND(AW$2&lt;&gt;AV$2,AW$2=$D220),INDEX(Fixed_Assets,$D220),0)</f>
        <v>0</v>
      </c>
      <c r="AX220" s="123">
        <f t="array" ref="AX220">IF(AND(AX$2&lt;&gt;AW$2,AX$2=$D220),INDEX(Fixed_Assets,$D220),0)</f>
        <v>0</v>
      </c>
      <c r="AY220" s="123">
        <f t="array" ref="AY220">IF(AND(AY$2&lt;&gt;AX$2,AY$2=$D220),INDEX(Fixed_Assets,$D220),0)</f>
        <v>0</v>
      </c>
      <c r="AZ220" s="123">
        <f t="array" ref="AZ220">IF(AND(AZ$2&lt;&gt;AY$2,AZ$2=$D220),INDEX(Fixed_Assets,$D220),0)</f>
        <v>0</v>
      </c>
      <c r="BA220" s="123">
        <f t="array" ref="BA220">IF(AND(BA$2&lt;&gt;AZ$2,BA$2=$D220),INDEX(Fixed_Assets,$D220),0)</f>
        <v>0</v>
      </c>
      <c r="BB220" s="123">
        <f t="array" ref="BB220">IF(AND(BB$2&lt;&gt;BA$2,BB$2=$D220),INDEX(Fixed_Assets,$D220),0)</f>
        <v>0</v>
      </c>
      <c r="BC220" s="123">
        <f t="array" ref="BC220">IF(AND(BC$2&lt;&gt;BB$2,BC$2=$D220),INDEX(Fixed_Assets,$D220),0)</f>
        <v>0</v>
      </c>
      <c r="BD220" s="123">
        <f t="array" ref="BD220">IF(AND(BD$2&lt;&gt;BC$2,BD$2=$D220),INDEX(Fixed_Assets,$D220),0)</f>
        <v>0</v>
      </c>
      <c r="BE220" s="123">
        <f t="array" ref="BE220">IF(AND(BE$2&lt;&gt;BD$2,BE$2=$D220),INDEX(Fixed_Assets,$D220),0)</f>
        <v>0</v>
      </c>
      <c r="BF220" s="123">
        <f t="array" ref="BF220">IF(AND(BF$2&lt;&gt;BE$2,BF$2=$D220),INDEX(Fixed_Assets,$D220),0)</f>
        <v>0</v>
      </c>
      <c r="BG220" s="123">
        <f t="array" ref="BG220">IF(AND(BG$2&lt;&gt;BF$2,BG$2=$D220),INDEX(Fixed_Assets,$D220),0)</f>
        <v>0</v>
      </c>
      <c r="BH220" s="123">
        <f t="array" ref="BH220">IF(AND(BH$2&lt;&gt;BG$2,BH$2=$D220),INDEX(Fixed_Assets,$D220),0)</f>
        <v>0</v>
      </c>
      <c r="BI220" s="123">
        <f t="array" ref="BI220">IF(AND(BI$2&lt;&gt;BH$2,BI$2=$D220),INDEX(Fixed_Assets,$D220),0)</f>
        <v>0</v>
      </c>
      <c r="BJ220" s="123">
        <f t="array" ref="BJ220">IF(AND(BJ$2&lt;&gt;BI$2,BJ$2=$D220),INDEX(Fixed_Assets,$D220),0)</f>
        <v>0</v>
      </c>
      <c r="BK220" s="123">
        <f t="array" ref="BK220">IF(AND(BK$2&lt;&gt;BJ$2,BK$2=$D220),INDEX(Fixed_Assets,$D220),0)</f>
        <v>0</v>
      </c>
      <c r="BL220" s="123">
        <f t="array" ref="BL220">IF(AND(BL$2&lt;&gt;BK$2,BL$2=$D220),INDEX(Fixed_Assets,$D220),0)</f>
        <v>0</v>
      </c>
      <c r="BM220" s="123">
        <f t="array" ref="BM220">IF(AND(BM$2&lt;&gt;BL$2,BM$2=$D220),INDEX(Fixed_Assets,$D220),0)</f>
        <v>0</v>
      </c>
      <c r="BN220" s="123">
        <f t="array" ref="BN220">IF(AND(BN$2&lt;&gt;BM$2,BN$2=$D220),INDEX(Fixed_Assets,$D220),0)</f>
        <v>0</v>
      </c>
      <c r="BO220" s="123">
        <f t="array" ref="BO220">IF(AND(BO$2&lt;&gt;BN$2,BO$2=$D220),INDEX(Fixed_Assets,$D220),0)</f>
        <v>0</v>
      </c>
      <c r="BP220" s="123">
        <f t="array" ref="BP220">IF(AND(BP$2&lt;&gt;BO$2,BP$2=$D220),INDEX(Fixed_Assets,$D220),0)</f>
        <v>0</v>
      </c>
      <c r="BQ220" s="123">
        <f t="array" ref="BQ220">IF(AND(BQ$2&lt;&gt;BP$2,BQ$2=$D220),INDEX(Fixed_Assets,$D220),0)</f>
        <v>0</v>
      </c>
      <c r="BR220" s="123">
        <f t="array" ref="BR220">IF(AND(BR$2&lt;&gt;BQ$2,BR$2=$D220),INDEX(Fixed_Assets,$D220),0)</f>
        <v>0</v>
      </c>
      <c r="BS220" s="92"/>
    </row>
    <row r="221" ht="13.5" customHeight="1">
      <c r="A221" s="80"/>
      <c r="B221" s="92" t="str">
        <f>"Depreciation - Year "&amp;D221</f>
        <v>Depreciation - Year 2</v>
      </c>
      <c r="C221" s="323" t="str">
        <f>Depreciation</f>
        <v>Depreciation</v>
      </c>
      <c r="D221" s="317">
        <f t="shared" si="210"/>
        <v>2</v>
      </c>
      <c r="E221" s="123">
        <f t="shared" ref="E221:I221" si="211">SUMIF($K$2:$BR$2,E$1,$K221:$BR221)</f>
        <v>0</v>
      </c>
      <c r="F221" s="123">
        <f t="shared" si="211"/>
        <v>0</v>
      </c>
      <c r="G221" s="123">
        <f t="shared" si="211"/>
        <v>0</v>
      </c>
      <c r="H221" s="123">
        <f t="shared" si="211"/>
        <v>0</v>
      </c>
      <c r="I221" s="123">
        <f t="shared" si="211"/>
        <v>0</v>
      </c>
      <c r="J221" s="314"/>
      <c r="K221" s="123" t="str">
        <f>IF(AND(J221&lt;&gt;0,ROUND(K219,0)=0),-K219,IF(K220=0,J221,-(K220*Depreciation_Rate)/12))</f>
        <v/>
      </c>
      <c r="L221" s="123" t="str">
        <f>IF(AND(K221&lt;&gt;0,ROUND(L219,0)=0),-L219,IF(L220=0,K221,-(L220*Depreciation_Rate)/12))</f>
        <v/>
      </c>
      <c r="M221" s="123" t="str">
        <f>IF(AND(L221&lt;&gt;0,ROUND(M219,0)=0),-M219,IF(M220=0,L221,-(M220*Depreciation_Rate)/12))</f>
        <v/>
      </c>
      <c r="N221" s="123" t="str">
        <f>IF(AND(M221&lt;&gt;0,ROUND(N219,0)=0),-N219,IF(N220=0,M221,-(N220*Depreciation_Rate)/12))</f>
        <v/>
      </c>
      <c r="O221" s="123" t="str">
        <f>IF(AND(N221&lt;&gt;0,ROUND(O219,0)=0),-O219,IF(O220=0,N221,-(O220*Depreciation_Rate)/12))</f>
        <v/>
      </c>
      <c r="P221" s="123" t="str">
        <f>IF(AND(O221&lt;&gt;0,ROUND(P219,0)=0),-P219,IF(P220=0,O221,-(P220*Depreciation_Rate)/12))</f>
        <v/>
      </c>
      <c r="Q221" s="123" t="str">
        <f>IF(AND(P221&lt;&gt;0,ROUND(Q219,0)=0),-Q219,IF(Q220=0,P221,-(Q220*Depreciation_Rate)/12))</f>
        <v/>
      </c>
      <c r="R221" s="123" t="str">
        <f>IF(AND(Q221&lt;&gt;0,ROUND(R219,0)=0),-R219,IF(R220=0,Q221,-(R220*Depreciation_Rate)/12))</f>
        <v/>
      </c>
      <c r="S221" s="123" t="str">
        <f>IF(AND(R221&lt;&gt;0,ROUND(S219,0)=0),-S219,IF(S220=0,R221,-(S220*Depreciation_Rate)/12))</f>
        <v/>
      </c>
      <c r="T221" s="123" t="str">
        <f>IF(AND(S221&lt;&gt;0,ROUND(T219,0)=0),-T219,IF(T220=0,S221,-(T220*Depreciation_Rate)/12))</f>
        <v/>
      </c>
      <c r="U221" s="123" t="str">
        <f>IF(AND(T221&lt;&gt;0,ROUND(U219,0)=0),-U219,IF(U220=0,T221,-(U220*Depreciation_Rate)/12))</f>
        <v/>
      </c>
      <c r="V221" s="123" t="str">
        <f>IF(AND(U221&lt;&gt;0,ROUND(V219,0)=0),-V219,IF(V220=0,U221,-(V220*Depreciation_Rate)/12))</f>
        <v/>
      </c>
      <c r="W221" s="123" t="str">
        <f>IF(AND(V221&lt;&gt;0,ROUND(W219,0)=0),-W219,IF(W220=0,V221,-(W220*Depreciation_Rate)/12))</f>
        <v/>
      </c>
      <c r="X221" s="123" t="str">
        <f>IF(AND(W221&lt;&gt;0,ROUND(X219,0)=0),-X219,IF(X220=0,W221,-(X220*Depreciation_Rate)/12))</f>
        <v/>
      </c>
      <c r="Y221" s="123" t="str">
        <f>IF(AND(X221&lt;&gt;0,ROUND(Y219,0)=0),-Y219,IF(Y220=0,X221,-(Y220*Depreciation_Rate)/12))</f>
        <v/>
      </c>
      <c r="Z221" s="123" t="str">
        <f>IF(AND(Y221&lt;&gt;0,ROUND(Z219,0)=0),-Z219,IF(Z220=0,Y221,-(Z220*Depreciation_Rate)/12))</f>
        <v/>
      </c>
      <c r="AA221" s="123" t="str">
        <f>IF(AND(Z221&lt;&gt;0,ROUND(AA219,0)=0),-AA219,IF(AA220=0,Z221,-(AA220*Depreciation_Rate)/12))</f>
        <v/>
      </c>
      <c r="AB221" s="123" t="str">
        <f>IF(AND(AA221&lt;&gt;0,ROUND(AB219,0)=0),-AB219,IF(AB220=0,AA221,-(AB220*Depreciation_Rate)/12))</f>
        <v/>
      </c>
      <c r="AC221" s="123" t="str">
        <f>IF(AND(AB221&lt;&gt;0,ROUND(AC219,0)=0),-AC219,IF(AC220=0,AB221,-(AC220*Depreciation_Rate)/12))</f>
        <v/>
      </c>
      <c r="AD221" s="123" t="str">
        <f>IF(AND(AC221&lt;&gt;0,ROUND(AD219,0)=0),-AD219,IF(AD220=0,AC221,-(AD220*Depreciation_Rate)/12))</f>
        <v/>
      </c>
      <c r="AE221" s="123" t="str">
        <f>IF(AND(AD221&lt;&gt;0,ROUND(AE219,0)=0),-AE219,IF(AE220=0,AD221,-(AE220*Depreciation_Rate)/12))</f>
        <v/>
      </c>
      <c r="AF221" s="123" t="str">
        <f>IF(AND(AE221&lt;&gt;0,ROUND(AF219,0)=0),-AF219,IF(AF220=0,AE221,-(AF220*Depreciation_Rate)/12))</f>
        <v/>
      </c>
      <c r="AG221" s="123" t="str">
        <f>IF(AND(AF221&lt;&gt;0,ROUND(AG219,0)=0),-AG219,IF(AG220=0,AF221,-(AG220*Depreciation_Rate)/12))</f>
        <v/>
      </c>
      <c r="AH221" s="123" t="str">
        <f>IF(AND(AG221&lt;&gt;0,ROUND(AH219,0)=0),-AH219,IF(AH220=0,AG221,-(AH220*Depreciation_Rate)/12))</f>
        <v/>
      </c>
      <c r="AI221" s="123" t="str">
        <f>IF(AND(AH221&lt;&gt;0,ROUND(AI219,0)=0),-AI219,IF(AI220=0,AH221,-(AI220*Depreciation_Rate)/12))</f>
        <v/>
      </c>
      <c r="AJ221" s="123" t="str">
        <f>IF(AND(AI221&lt;&gt;0,ROUND(AJ219,0)=0),-AJ219,IF(AJ220=0,AI221,-(AJ220*Depreciation_Rate)/12))</f>
        <v/>
      </c>
      <c r="AK221" s="123" t="str">
        <f>IF(AND(AJ221&lt;&gt;0,ROUND(AK219,0)=0),-AK219,IF(AK220=0,AJ221,-(AK220*Depreciation_Rate)/12))</f>
        <v/>
      </c>
      <c r="AL221" s="123" t="str">
        <f>IF(AND(AK221&lt;&gt;0,ROUND(AL219,0)=0),-AL219,IF(AL220=0,AK221,-(AL220*Depreciation_Rate)/12))</f>
        <v/>
      </c>
      <c r="AM221" s="123" t="str">
        <f>IF(AND(AL221&lt;&gt;0,ROUND(AM219,0)=0),-AM219,IF(AM220=0,AL221,-(AM220*Depreciation_Rate)/12))</f>
        <v/>
      </c>
      <c r="AN221" s="123" t="str">
        <f>IF(AND(AM221&lt;&gt;0,ROUND(AN219,0)=0),-AN219,IF(AN220=0,AM221,-(AN220*Depreciation_Rate)/12))</f>
        <v/>
      </c>
      <c r="AO221" s="123" t="str">
        <f>IF(AND(AN221&lt;&gt;0,ROUND(AO219,0)=0),-AO219,IF(AO220=0,AN221,-(AO220*Depreciation_Rate)/12))</f>
        <v/>
      </c>
      <c r="AP221" s="123" t="str">
        <f>IF(AND(AO221&lt;&gt;0,ROUND(AP219,0)=0),-AP219,IF(AP220=0,AO221,-(AP220*Depreciation_Rate)/12))</f>
        <v/>
      </c>
      <c r="AQ221" s="123" t="str">
        <f>IF(AND(AP221&lt;&gt;0,ROUND(AQ219,0)=0),-AQ219,IF(AQ220=0,AP221,-(AQ220*Depreciation_Rate)/12))</f>
        <v/>
      </c>
      <c r="AR221" s="123" t="str">
        <f>IF(AND(AQ221&lt;&gt;0,ROUND(AR219,0)=0),-AR219,IF(AR220=0,AQ221,-(AR220*Depreciation_Rate)/12))</f>
        <v/>
      </c>
      <c r="AS221" s="123" t="str">
        <f>IF(AND(AR221&lt;&gt;0,ROUND(AS219,0)=0),-AS219,IF(AS220=0,AR221,-(AS220*Depreciation_Rate)/12))</f>
        <v/>
      </c>
      <c r="AT221" s="123" t="str">
        <f>IF(AND(AS221&lt;&gt;0,ROUND(AT219,0)=0),-AT219,IF(AT220=0,AS221,-(AT220*Depreciation_Rate)/12))</f>
        <v/>
      </c>
      <c r="AU221" s="123" t="str">
        <f>IF(AND(AT221&lt;&gt;0,ROUND(AU219,0)=0),-AU219,IF(AU220=0,AT221,-(AU220*Depreciation_Rate)/12))</f>
        <v/>
      </c>
      <c r="AV221" s="123" t="str">
        <f>IF(AND(AU221&lt;&gt;0,ROUND(AV219,0)=0),-AV219,IF(AV220=0,AU221,-(AV220*Depreciation_Rate)/12))</f>
        <v/>
      </c>
      <c r="AW221" s="123" t="str">
        <f>IF(AND(AV221&lt;&gt;0,ROUND(AW219,0)=0),-AW219,IF(AW220=0,AV221,-(AW220*Depreciation_Rate)/12))</f>
        <v/>
      </c>
      <c r="AX221" s="123" t="str">
        <f>IF(AND(AW221&lt;&gt;0,ROUND(AX219,0)=0),-AX219,IF(AX220=0,AW221,-(AX220*Depreciation_Rate)/12))</f>
        <v/>
      </c>
      <c r="AY221" s="123" t="str">
        <f>IF(AND(AX221&lt;&gt;0,ROUND(AY219,0)=0),-AY219,IF(AY220=0,AX221,-(AY220*Depreciation_Rate)/12))</f>
        <v/>
      </c>
      <c r="AZ221" s="123" t="str">
        <f>IF(AND(AY221&lt;&gt;0,ROUND(AZ219,0)=0),-AZ219,IF(AZ220=0,AY221,-(AZ220*Depreciation_Rate)/12))</f>
        <v/>
      </c>
      <c r="BA221" s="123" t="str">
        <f>IF(AND(AZ221&lt;&gt;0,ROUND(BA219,0)=0),-BA219,IF(BA220=0,AZ221,-(BA220*Depreciation_Rate)/12))</f>
        <v/>
      </c>
      <c r="BB221" s="123" t="str">
        <f>IF(AND(BA221&lt;&gt;0,ROUND(BB219,0)=0),-BB219,IF(BB220=0,BA221,-(BB220*Depreciation_Rate)/12))</f>
        <v/>
      </c>
      <c r="BC221" s="123" t="str">
        <f>IF(AND(BB221&lt;&gt;0,ROUND(BC219,0)=0),-BC219,IF(BC220=0,BB221,-(BC220*Depreciation_Rate)/12))</f>
        <v/>
      </c>
      <c r="BD221" s="123" t="str">
        <f>IF(AND(BC221&lt;&gt;0,ROUND(BD219,0)=0),-BD219,IF(BD220=0,BC221,-(BD220*Depreciation_Rate)/12))</f>
        <v/>
      </c>
      <c r="BE221" s="123" t="str">
        <f>IF(AND(BD221&lt;&gt;0,ROUND(BE219,0)=0),-BE219,IF(BE220=0,BD221,-(BE220*Depreciation_Rate)/12))</f>
        <v/>
      </c>
      <c r="BF221" s="123" t="str">
        <f>IF(AND(BE221&lt;&gt;0,ROUND(BF219,0)=0),-BF219,IF(BF220=0,BE221,-(BF220*Depreciation_Rate)/12))</f>
        <v/>
      </c>
      <c r="BG221" s="123" t="str">
        <f>IF(AND(BF221&lt;&gt;0,ROUND(BG219,0)=0),-BG219,IF(BG220=0,BF221,-(BG220*Depreciation_Rate)/12))</f>
        <v/>
      </c>
      <c r="BH221" s="123" t="str">
        <f>IF(AND(BG221&lt;&gt;0,ROUND(BH219,0)=0),-BH219,IF(BH220=0,BG221,-(BH220*Depreciation_Rate)/12))</f>
        <v/>
      </c>
      <c r="BI221" s="123" t="str">
        <f>IF(AND(BH221&lt;&gt;0,ROUND(BI219,0)=0),-BI219,IF(BI220=0,BH221,-(BI220*Depreciation_Rate)/12))</f>
        <v/>
      </c>
      <c r="BJ221" s="123" t="str">
        <f>IF(AND(BI221&lt;&gt;0,ROUND(BJ219,0)=0),-BJ219,IF(BJ220=0,BI221,-(BJ220*Depreciation_Rate)/12))</f>
        <v/>
      </c>
      <c r="BK221" s="123" t="str">
        <f>IF(AND(BJ221&lt;&gt;0,ROUND(BK219,0)=0),-BK219,IF(BK220=0,BJ221,-(BK220*Depreciation_Rate)/12))</f>
        <v/>
      </c>
      <c r="BL221" s="123" t="str">
        <f>IF(AND(BK221&lt;&gt;0,ROUND(BL219,0)=0),-BL219,IF(BL220=0,BK221,-(BL220*Depreciation_Rate)/12))</f>
        <v/>
      </c>
      <c r="BM221" s="123" t="str">
        <f>IF(AND(BL221&lt;&gt;0,ROUND(BM219,0)=0),-BM219,IF(BM220=0,BL221,-(BM220*Depreciation_Rate)/12))</f>
        <v/>
      </c>
      <c r="BN221" s="123" t="str">
        <f>IF(AND(BM221&lt;&gt;0,ROUND(BN219,0)=0),-BN219,IF(BN220=0,BM221,-(BN220*Depreciation_Rate)/12))</f>
        <v/>
      </c>
      <c r="BO221" s="123" t="str">
        <f>IF(AND(BN221&lt;&gt;0,ROUND(BO219,0)=0),-BO219,IF(BO220=0,BN221,-(BO220*Depreciation_Rate)/12))</f>
        <v/>
      </c>
      <c r="BP221" s="123" t="str">
        <f>IF(AND(BO221&lt;&gt;0,ROUND(BP219,0)=0),-BP219,IF(BP220=0,BO221,-(BP220*Depreciation_Rate)/12))</f>
        <v/>
      </c>
      <c r="BQ221" s="123" t="str">
        <f>IF(AND(BP221&lt;&gt;0,ROUND(BQ219,0)=0),-BQ219,IF(BQ220=0,BP221,-(BQ220*Depreciation_Rate)/12))</f>
        <v/>
      </c>
      <c r="BR221" s="123" t="str">
        <f>IF(AND(BQ221&lt;&gt;0,ROUND(BR219,0)=0),-BR219,IF(BR220=0,BQ221,-(BR220*Depreciation_Rate)/12))</f>
        <v/>
      </c>
      <c r="BS221" s="92"/>
    </row>
    <row r="222" ht="13.5" customHeight="1">
      <c r="A222" s="80"/>
      <c r="B222" s="92" t="s">
        <v>366</v>
      </c>
      <c r="C222" s="323" t="str">
        <f>Closing</f>
        <v>Closing</v>
      </c>
      <c r="D222" s="317">
        <f t="shared" si="210"/>
        <v>2</v>
      </c>
      <c r="E222" s="123">
        <f t="shared" ref="E222:I222" si="212">INDEX($K222:$BR222,,MATCH(E$1,$K$2:$BR$2,0)+11)</f>
        <v>0</v>
      </c>
      <c r="F222" s="123">
        <f t="shared" si="212"/>
        <v>0</v>
      </c>
      <c r="G222" s="123">
        <f t="shared" si="212"/>
        <v>0</v>
      </c>
      <c r="H222" s="123">
        <f t="shared" si="212"/>
        <v>0</v>
      </c>
      <c r="I222" s="123">
        <f t="shared" si="212"/>
        <v>0</v>
      </c>
      <c r="J222" s="314"/>
      <c r="K222" s="123">
        <f t="shared" ref="K222:BR222" si="213">SUM(K219:K221)</f>
        <v>0</v>
      </c>
      <c r="L222" s="123">
        <f t="shared" si="213"/>
        <v>0</v>
      </c>
      <c r="M222" s="123">
        <f t="shared" si="213"/>
        <v>0</v>
      </c>
      <c r="N222" s="123">
        <f t="shared" si="213"/>
        <v>0</v>
      </c>
      <c r="O222" s="123">
        <f t="shared" si="213"/>
        <v>0</v>
      </c>
      <c r="P222" s="123">
        <f t="shared" si="213"/>
        <v>0</v>
      </c>
      <c r="Q222" s="123">
        <f t="shared" si="213"/>
        <v>0</v>
      </c>
      <c r="R222" s="123">
        <f t="shared" si="213"/>
        <v>0</v>
      </c>
      <c r="S222" s="123">
        <f t="shared" si="213"/>
        <v>0</v>
      </c>
      <c r="T222" s="123">
        <f t="shared" si="213"/>
        <v>0</v>
      </c>
      <c r="U222" s="123">
        <f t="shared" si="213"/>
        <v>0</v>
      </c>
      <c r="V222" s="123">
        <f t="shared" si="213"/>
        <v>0</v>
      </c>
      <c r="W222" s="123">
        <f t="shared" si="213"/>
        <v>0</v>
      </c>
      <c r="X222" s="123">
        <f t="shared" si="213"/>
        <v>0</v>
      </c>
      <c r="Y222" s="123">
        <f t="shared" si="213"/>
        <v>0</v>
      </c>
      <c r="Z222" s="123">
        <f t="shared" si="213"/>
        <v>0</v>
      </c>
      <c r="AA222" s="123">
        <f t="shared" si="213"/>
        <v>0</v>
      </c>
      <c r="AB222" s="123">
        <f t="shared" si="213"/>
        <v>0</v>
      </c>
      <c r="AC222" s="123">
        <f t="shared" si="213"/>
        <v>0</v>
      </c>
      <c r="AD222" s="123">
        <f t="shared" si="213"/>
        <v>0</v>
      </c>
      <c r="AE222" s="123">
        <f t="shared" si="213"/>
        <v>0</v>
      </c>
      <c r="AF222" s="123">
        <f t="shared" si="213"/>
        <v>0</v>
      </c>
      <c r="AG222" s="123">
        <f t="shared" si="213"/>
        <v>0</v>
      </c>
      <c r="AH222" s="123">
        <f t="shared" si="213"/>
        <v>0</v>
      </c>
      <c r="AI222" s="123">
        <f t="shared" si="213"/>
        <v>0</v>
      </c>
      <c r="AJ222" s="123">
        <f t="shared" si="213"/>
        <v>0</v>
      </c>
      <c r="AK222" s="123">
        <f t="shared" si="213"/>
        <v>0</v>
      </c>
      <c r="AL222" s="123">
        <f t="shared" si="213"/>
        <v>0</v>
      </c>
      <c r="AM222" s="123">
        <f t="shared" si="213"/>
        <v>0</v>
      </c>
      <c r="AN222" s="123">
        <f t="shared" si="213"/>
        <v>0</v>
      </c>
      <c r="AO222" s="123">
        <f t="shared" si="213"/>
        <v>0</v>
      </c>
      <c r="AP222" s="123">
        <f t="shared" si="213"/>
        <v>0</v>
      </c>
      <c r="AQ222" s="123">
        <f t="shared" si="213"/>
        <v>0</v>
      </c>
      <c r="AR222" s="123">
        <f t="shared" si="213"/>
        <v>0</v>
      </c>
      <c r="AS222" s="123">
        <f t="shared" si="213"/>
        <v>0</v>
      </c>
      <c r="AT222" s="123">
        <f t="shared" si="213"/>
        <v>0</v>
      </c>
      <c r="AU222" s="123">
        <f t="shared" si="213"/>
        <v>0</v>
      </c>
      <c r="AV222" s="123">
        <f t="shared" si="213"/>
        <v>0</v>
      </c>
      <c r="AW222" s="123">
        <f t="shared" si="213"/>
        <v>0</v>
      </c>
      <c r="AX222" s="123">
        <f t="shared" si="213"/>
        <v>0</v>
      </c>
      <c r="AY222" s="123">
        <f t="shared" si="213"/>
        <v>0</v>
      </c>
      <c r="AZ222" s="123">
        <f t="shared" si="213"/>
        <v>0</v>
      </c>
      <c r="BA222" s="123">
        <f t="shared" si="213"/>
        <v>0</v>
      </c>
      <c r="BB222" s="123">
        <f t="shared" si="213"/>
        <v>0</v>
      </c>
      <c r="BC222" s="123">
        <f t="shared" si="213"/>
        <v>0</v>
      </c>
      <c r="BD222" s="123">
        <f t="shared" si="213"/>
        <v>0</v>
      </c>
      <c r="BE222" s="123">
        <f t="shared" si="213"/>
        <v>0</v>
      </c>
      <c r="BF222" s="123">
        <f t="shared" si="213"/>
        <v>0</v>
      </c>
      <c r="BG222" s="123">
        <f t="shared" si="213"/>
        <v>0</v>
      </c>
      <c r="BH222" s="123">
        <f t="shared" si="213"/>
        <v>0</v>
      </c>
      <c r="BI222" s="123">
        <f t="shared" si="213"/>
        <v>0</v>
      </c>
      <c r="BJ222" s="123">
        <f t="shared" si="213"/>
        <v>0</v>
      </c>
      <c r="BK222" s="123">
        <f t="shared" si="213"/>
        <v>0</v>
      </c>
      <c r="BL222" s="123">
        <f t="shared" si="213"/>
        <v>0</v>
      </c>
      <c r="BM222" s="123">
        <f t="shared" si="213"/>
        <v>0</v>
      </c>
      <c r="BN222" s="123">
        <f t="shared" si="213"/>
        <v>0</v>
      </c>
      <c r="BO222" s="123">
        <f t="shared" si="213"/>
        <v>0</v>
      </c>
      <c r="BP222" s="123">
        <f t="shared" si="213"/>
        <v>0</v>
      </c>
      <c r="BQ222" s="123">
        <f t="shared" si="213"/>
        <v>0</v>
      </c>
      <c r="BR222" s="123">
        <f t="shared" si="213"/>
        <v>0</v>
      </c>
      <c r="BS222" s="92"/>
    </row>
    <row r="223" ht="13.5" customHeight="1">
      <c r="A223" s="80"/>
      <c r="B223" s="92"/>
      <c r="C223" s="323"/>
      <c r="D223" s="317"/>
      <c r="E223" s="123"/>
      <c r="F223" s="123"/>
      <c r="G223" s="123"/>
      <c r="H223" s="123"/>
      <c r="I223" s="123"/>
      <c r="J223" s="314"/>
      <c r="K223" s="123"/>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3"/>
      <c r="AZ223" s="123"/>
      <c r="BA223" s="123"/>
      <c r="BB223" s="123"/>
      <c r="BC223" s="123"/>
      <c r="BD223" s="123"/>
      <c r="BE223" s="123"/>
      <c r="BF223" s="123"/>
      <c r="BG223" s="123"/>
      <c r="BH223" s="123"/>
      <c r="BI223" s="123"/>
      <c r="BJ223" s="123"/>
      <c r="BK223" s="123"/>
      <c r="BL223" s="123"/>
      <c r="BM223" s="123"/>
      <c r="BN223" s="123"/>
      <c r="BO223" s="123"/>
      <c r="BP223" s="123"/>
      <c r="BQ223" s="123"/>
      <c r="BR223" s="123"/>
      <c r="BS223" s="92"/>
    </row>
    <row r="224" ht="15.75" customHeight="1">
      <c r="A224" s="106"/>
      <c r="B224" s="75" t="s">
        <v>365</v>
      </c>
      <c r="C224" s="323" t="str">
        <f>Opening</f>
        <v>Opening</v>
      </c>
      <c r="D224" s="317">
        <f>D222+1</f>
        <v>3</v>
      </c>
      <c r="E224" s="123" t="str">
        <f t="shared" ref="E224:I224" si="214">INDEX($K224:$BR224,,MATCH(E$1,$K$2:$BR$2,0))</f>
        <v/>
      </c>
      <c r="F224" s="123">
        <f t="shared" si="214"/>
        <v>0</v>
      </c>
      <c r="G224" s="123">
        <f t="shared" si="214"/>
        <v>0</v>
      </c>
      <c r="H224" s="123">
        <f t="shared" si="214"/>
        <v>0</v>
      </c>
      <c r="I224" s="123">
        <f t="shared" si="214"/>
        <v>0</v>
      </c>
      <c r="J224" s="75"/>
      <c r="K224" s="301" t="str">
        <f t="shared" ref="K224:BR224" si="215">J227</f>
        <v/>
      </c>
      <c r="L224" s="301">
        <f t="shared" si="215"/>
        <v>0</v>
      </c>
      <c r="M224" s="301">
        <f t="shared" si="215"/>
        <v>0</v>
      </c>
      <c r="N224" s="301">
        <f t="shared" si="215"/>
        <v>0</v>
      </c>
      <c r="O224" s="301">
        <f t="shared" si="215"/>
        <v>0</v>
      </c>
      <c r="P224" s="301">
        <f t="shared" si="215"/>
        <v>0</v>
      </c>
      <c r="Q224" s="301">
        <f t="shared" si="215"/>
        <v>0</v>
      </c>
      <c r="R224" s="301">
        <f t="shared" si="215"/>
        <v>0</v>
      </c>
      <c r="S224" s="301">
        <f t="shared" si="215"/>
        <v>0</v>
      </c>
      <c r="T224" s="301">
        <f t="shared" si="215"/>
        <v>0</v>
      </c>
      <c r="U224" s="301">
        <f t="shared" si="215"/>
        <v>0</v>
      </c>
      <c r="V224" s="301">
        <f t="shared" si="215"/>
        <v>0</v>
      </c>
      <c r="W224" s="301">
        <f t="shared" si="215"/>
        <v>0</v>
      </c>
      <c r="X224" s="301">
        <f t="shared" si="215"/>
        <v>0</v>
      </c>
      <c r="Y224" s="301">
        <f t="shared" si="215"/>
        <v>0</v>
      </c>
      <c r="Z224" s="301">
        <f t="shared" si="215"/>
        <v>0</v>
      </c>
      <c r="AA224" s="301">
        <f t="shared" si="215"/>
        <v>0</v>
      </c>
      <c r="AB224" s="301">
        <f t="shared" si="215"/>
        <v>0</v>
      </c>
      <c r="AC224" s="301">
        <f t="shared" si="215"/>
        <v>0</v>
      </c>
      <c r="AD224" s="301">
        <f t="shared" si="215"/>
        <v>0</v>
      </c>
      <c r="AE224" s="301">
        <f t="shared" si="215"/>
        <v>0</v>
      </c>
      <c r="AF224" s="301">
        <f t="shared" si="215"/>
        <v>0</v>
      </c>
      <c r="AG224" s="301">
        <f t="shared" si="215"/>
        <v>0</v>
      </c>
      <c r="AH224" s="301">
        <f t="shared" si="215"/>
        <v>0</v>
      </c>
      <c r="AI224" s="301">
        <f t="shared" si="215"/>
        <v>0</v>
      </c>
      <c r="AJ224" s="301">
        <f t="shared" si="215"/>
        <v>0</v>
      </c>
      <c r="AK224" s="301">
        <f t="shared" si="215"/>
        <v>0</v>
      </c>
      <c r="AL224" s="301">
        <f t="shared" si="215"/>
        <v>0</v>
      </c>
      <c r="AM224" s="301">
        <f t="shared" si="215"/>
        <v>0</v>
      </c>
      <c r="AN224" s="301">
        <f t="shared" si="215"/>
        <v>0</v>
      </c>
      <c r="AO224" s="301">
        <f t="shared" si="215"/>
        <v>0</v>
      </c>
      <c r="AP224" s="301">
        <f t="shared" si="215"/>
        <v>0</v>
      </c>
      <c r="AQ224" s="301">
        <f t="shared" si="215"/>
        <v>0</v>
      </c>
      <c r="AR224" s="301">
        <f t="shared" si="215"/>
        <v>0</v>
      </c>
      <c r="AS224" s="301">
        <f t="shared" si="215"/>
        <v>0</v>
      </c>
      <c r="AT224" s="301">
        <f t="shared" si="215"/>
        <v>0</v>
      </c>
      <c r="AU224" s="301">
        <f t="shared" si="215"/>
        <v>0</v>
      </c>
      <c r="AV224" s="301">
        <f t="shared" si="215"/>
        <v>0</v>
      </c>
      <c r="AW224" s="301">
        <f t="shared" si="215"/>
        <v>0</v>
      </c>
      <c r="AX224" s="301">
        <f t="shared" si="215"/>
        <v>0</v>
      </c>
      <c r="AY224" s="301">
        <f t="shared" si="215"/>
        <v>0</v>
      </c>
      <c r="AZ224" s="301">
        <f t="shared" si="215"/>
        <v>0</v>
      </c>
      <c r="BA224" s="301">
        <f t="shared" si="215"/>
        <v>0</v>
      </c>
      <c r="BB224" s="301">
        <f t="shared" si="215"/>
        <v>0</v>
      </c>
      <c r="BC224" s="301">
        <f t="shared" si="215"/>
        <v>0</v>
      </c>
      <c r="BD224" s="301">
        <f t="shared" si="215"/>
        <v>0</v>
      </c>
      <c r="BE224" s="301">
        <f t="shared" si="215"/>
        <v>0</v>
      </c>
      <c r="BF224" s="301">
        <f t="shared" si="215"/>
        <v>0</v>
      </c>
      <c r="BG224" s="301">
        <f t="shared" si="215"/>
        <v>0</v>
      </c>
      <c r="BH224" s="301">
        <f t="shared" si="215"/>
        <v>0</v>
      </c>
      <c r="BI224" s="301">
        <f t="shared" si="215"/>
        <v>0</v>
      </c>
      <c r="BJ224" s="301">
        <f t="shared" si="215"/>
        <v>0</v>
      </c>
      <c r="BK224" s="301">
        <f t="shared" si="215"/>
        <v>0</v>
      </c>
      <c r="BL224" s="301">
        <f t="shared" si="215"/>
        <v>0</v>
      </c>
      <c r="BM224" s="301">
        <f t="shared" si="215"/>
        <v>0</v>
      </c>
      <c r="BN224" s="301">
        <f t="shared" si="215"/>
        <v>0</v>
      </c>
      <c r="BO224" s="301">
        <f t="shared" si="215"/>
        <v>0</v>
      </c>
      <c r="BP224" s="301">
        <f t="shared" si="215"/>
        <v>0</v>
      </c>
      <c r="BQ224" s="301">
        <f t="shared" si="215"/>
        <v>0</v>
      </c>
      <c r="BR224" s="301">
        <f t="shared" si="215"/>
        <v>0</v>
      </c>
      <c r="BS224" s="75"/>
    </row>
    <row r="225" ht="13.5" customHeight="1">
      <c r="A225" s="80"/>
      <c r="B225" s="92" t="str">
        <f>"Expenditure - Year "&amp;D225</f>
        <v>Expenditure - Year 3</v>
      </c>
      <c r="C225" s="323" t="str">
        <f>Expense</f>
        <v>Expense</v>
      </c>
      <c r="D225" s="317">
        <f t="shared" ref="D225:D227" si="217">D224</f>
        <v>3</v>
      </c>
      <c r="E225" s="123">
        <f t="shared" ref="E225:I225" si="216">SUMIF($K$2:$BR$2,E$1,$K225:$BR225)</f>
        <v>0</v>
      </c>
      <c r="F225" s="123">
        <f t="shared" si="216"/>
        <v>0</v>
      </c>
      <c r="G225" s="123">
        <f t="shared" si="216"/>
        <v>0</v>
      </c>
      <c r="H225" s="123">
        <f t="shared" si="216"/>
        <v>0</v>
      </c>
      <c r="I225" s="123">
        <f t="shared" si="216"/>
        <v>0</v>
      </c>
      <c r="J225" s="314"/>
      <c r="K225" s="123">
        <f t="array" ref="K225">IF(AND(K$2&lt;&gt;J$2,K$2=$D225),INDEX(Fixed_Assets,$D225),0)</f>
        <v>0</v>
      </c>
      <c r="L225" s="123">
        <f t="array" ref="L225">IF(AND(L$2&lt;&gt;K$2,L$2=$D225),INDEX(Fixed_Assets,$D225),0)</f>
        <v>0</v>
      </c>
      <c r="M225" s="123">
        <f t="array" ref="M225">IF(AND(M$2&lt;&gt;L$2,M$2=$D225),INDEX(Fixed_Assets,$D225),0)</f>
        <v>0</v>
      </c>
      <c r="N225" s="123">
        <f t="array" ref="N225">IF(AND(N$2&lt;&gt;M$2,N$2=$D225),INDEX(Fixed_Assets,$D225),0)</f>
        <v>0</v>
      </c>
      <c r="O225" s="123">
        <f t="array" ref="O225">IF(AND(O$2&lt;&gt;N$2,O$2=$D225),INDEX(Fixed_Assets,$D225),0)</f>
        <v>0</v>
      </c>
      <c r="P225" s="123">
        <f t="array" ref="P225">IF(AND(P$2&lt;&gt;O$2,P$2=$D225),INDEX(Fixed_Assets,$D225),0)</f>
        <v>0</v>
      </c>
      <c r="Q225" s="123">
        <f t="array" ref="Q225">IF(AND(Q$2&lt;&gt;P$2,Q$2=$D225),INDEX(Fixed_Assets,$D225),0)</f>
        <v>0</v>
      </c>
      <c r="R225" s="123">
        <f t="array" ref="R225">IF(AND(R$2&lt;&gt;Q$2,R$2=$D225),INDEX(Fixed_Assets,$D225),0)</f>
        <v>0</v>
      </c>
      <c r="S225" s="123">
        <f t="array" ref="S225">IF(AND(S$2&lt;&gt;R$2,S$2=$D225),INDEX(Fixed_Assets,$D225),0)</f>
        <v>0</v>
      </c>
      <c r="T225" s="123">
        <f t="array" ref="T225">IF(AND(T$2&lt;&gt;S$2,T$2=$D225),INDEX(Fixed_Assets,$D225),0)</f>
        <v>0</v>
      </c>
      <c r="U225" s="123">
        <f t="array" ref="U225">IF(AND(U$2&lt;&gt;T$2,U$2=$D225),INDEX(Fixed_Assets,$D225),0)</f>
        <v>0</v>
      </c>
      <c r="V225" s="123">
        <f t="array" ref="V225">IF(AND(V$2&lt;&gt;U$2,V$2=$D225),INDEX(Fixed_Assets,$D225),0)</f>
        <v>0</v>
      </c>
      <c r="W225" s="123">
        <f t="array" ref="W225">IF(AND(W$2&lt;&gt;V$2,W$2=$D225),INDEX(Fixed_Assets,$D225),0)</f>
        <v>0</v>
      </c>
      <c r="X225" s="123">
        <f t="array" ref="X225">IF(AND(X$2&lt;&gt;W$2,X$2=$D225),INDEX(Fixed_Assets,$D225),0)</f>
        <v>0</v>
      </c>
      <c r="Y225" s="123">
        <f t="array" ref="Y225">IF(AND(Y$2&lt;&gt;X$2,Y$2=$D225),INDEX(Fixed_Assets,$D225),0)</f>
        <v>0</v>
      </c>
      <c r="Z225" s="123">
        <f t="array" ref="Z225">IF(AND(Z$2&lt;&gt;Y$2,Z$2=$D225),INDEX(Fixed_Assets,$D225),0)</f>
        <v>0</v>
      </c>
      <c r="AA225" s="123">
        <f t="array" ref="AA225">IF(AND(AA$2&lt;&gt;Z$2,AA$2=$D225),INDEX(Fixed_Assets,$D225),0)</f>
        <v>0</v>
      </c>
      <c r="AB225" s="123">
        <f t="array" ref="AB225">IF(AND(AB$2&lt;&gt;AA$2,AB$2=$D225),INDEX(Fixed_Assets,$D225),0)</f>
        <v>0</v>
      </c>
      <c r="AC225" s="123">
        <f t="array" ref="AC225">IF(AND(AC$2&lt;&gt;AB$2,AC$2=$D225),INDEX(Fixed_Assets,$D225),0)</f>
        <v>0</v>
      </c>
      <c r="AD225" s="123">
        <f t="array" ref="AD225">IF(AND(AD$2&lt;&gt;AC$2,AD$2=$D225),INDEX(Fixed_Assets,$D225),0)</f>
        <v>0</v>
      </c>
      <c r="AE225" s="123">
        <f t="array" ref="AE225">IF(AND(AE$2&lt;&gt;AD$2,AE$2=$D225),INDEX(Fixed_Assets,$D225),0)</f>
        <v>0</v>
      </c>
      <c r="AF225" s="123">
        <f t="array" ref="AF225">IF(AND(AF$2&lt;&gt;AE$2,AF$2=$D225),INDEX(Fixed_Assets,$D225),0)</f>
        <v>0</v>
      </c>
      <c r="AG225" s="123">
        <f t="array" ref="AG225">IF(AND(AG$2&lt;&gt;AF$2,AG$2=$D225),INDEX(Fixed_Assets,$D225),0)</f>
        <v>0</v>
      </c>
      <c r="AH225" s="123">
        <f t="array" ref="AH225">IF(AND(AH$2&lt;&gt;AG$2,AH$2=$D225),INDEX(Fixed_Assets,$D225),0)</f>
        <v>0</v>
      </c>
      <c r="AI225" s="123" t="str">
        <f t="array" ref="AI225">IF(AND(AI$2&lt;&gt;AH$2,AI$2=$D225),INDEX(Fixed_Assets,$D225),0)</f>
        <v/>
      </c>
      <c r="AJ225" s="123">
        <f t="array" ref="AJ225">IF(AND(AJ$2&lt;&gt;AI$2,AJ$2=$D225),INDEX(Fixed_Assets,$D225),0)</f>
        <v>0</v>
      </c>
      <c r="AK225" s="123">
        <f t="array" ref="AK225">IF(AND(AK$2&lt;&gt;AJ$2,AK$2=$D225),INDEX(Fixed_Assets,$D225),0)</f>
        <v>0</v>
      </c>
      <c r="AL225" s="123">
        <f t="array" ref="AL225">IF(AND(AL$2&lt;&gt;AK$2,AL$2=$D225),INDEX(Fixed_Assets,$D225),0)</f>
        <v>0</v>
      </c>
      <c r="AM225" s="123">
        <f t="array" ref="AM225">IF(AND(AM$2&lt;&gt;AL$2,AM$2=$D225),INDEX(Fixed_Assets,$D225),0)</f>
        <v>0</v>
      </c>
      <c r="AN225" s="123">
        <f t="array" ref="AN225">IF(AND(AN$2&lt;&gt;AM$2,AN$2=$D225),INDEX(Fixed_Assets,$D225),0)</f>
        <v>0</v>
      </c>
      <c r="AO225" s="123">
        <f t="array" ref="AO225">IF(AND(AO$2&lt;&gt;AN$2,AO$2=$D225),INDEX(Fixed_Assets,$D225),0)</f>
        <v>0</v>
      </c>
      <c r="AP225" s="123">
        <f t="array" ref="AP225">IF(AND(AP$2&lt;&gt;AO$2,AP$2=$D225),INDEX(Fixed_Assets,$D225),0)</f>
        <v>0</v>
      </c>
      <c r="AQ225" s="123">
        <f t="array" ref="AQ225">IF(AND(AQ$2&lt;&gt;AP$2,AQ$2=$D225),INDEX(Fixed_Assets,$D225),0)</f>
        <v>0</v>
      </c>
      <c r="AR225" s="123">
        <f t="array" ref="AR225">IF(AND(AR$2&lt;&gt;AQ$2,AR$2=$D225),INDEX(Fixed_Assets,$D225),0)</f>
        <v>0</v>
      </c>
      <c r="AS225" s="123">
        <f t="array" ref="AS225">IF(AND(AS$2&lt;&gt;AR$2,AS$2=$D225),INDEX(Fixed_Assets,$D225),0)</f>
        <v>0</v>
      </c>
      <c r="AT225" s="123">
        <f t="array" ref="AT225">IF(AND(AT$2&lt;&gt;AS$2,AT$2=$D225),INDEX(Fixed_Assets,$D225),0)</f>
        <v>0</v>
      </c>
      <c r="AU225" s="123">
        <f t="array" ref="AU225">IF(AND(AU$2&lt;&gt;AT$2,AU$2=$D225),INDEX(Fixed_Assets,$D225),0)</f>
        <v>0</v>
      </c>
      <c r="AV225" s="123">
        <f t="array" ref="AV225">IF(AND(AV$2&lt;&gt;AU$2,AV$2=$D225),INDEX(Fixed_Assets,$D225),0)</f>
        <v>0</v>
      </c>
      <c r="AW225" s="123">
        <f t="array" ref="AW225">IF(AND(AW$2&lt;&gt;AV$2,AW$2=$D225),INDEX(Fixed_Assets,$D225),0)</f>
        <v>0</v>
      </c>
      <c r="AX225" s="123">
        <f t="array" ref="AX225">IF(AND(AX$2&lt;&gt;AW$2,AX$2=$D225),INDEX(Fixed_Assets,$D225),0)</f>
        <v>0</v>
      </c>
      <c r="AY225" s="123">
        <f t="array" ref="AY225">IF(AND(AY$2&lt;&gt;AX$2,AY$2=$D225),INDEX(Fixed_Assets,$D225),0)</f>
        <v>0</v>
      </c>
      <c r="AZ225" s="123">
        <f t="array" ref="AZ225">IF(AND(AZ$2&lt;&gt;AY$2,AZ$2=$D225),INDEX(Fixed_Assets,$D225),0)</f>
        <v>0</v>
      </c>
      <c r="BA225" s="123">
        <f t="array" ref="BA225">IF(AND(BA$2&lt;&gt;AZ$2,BA$2=$D225),INDEX(Fixed_Assets,$D225),0)</f>
        <v>0</v>
      </c>
      <c r="BB225" s="123">
        <f t="array" ref="BB225">IF(AND(BB$2&lt;&gt;BA$2,BB$2=$D225),INDEX(Fixed_Assets,$D225),0)</f>
        <v>0</v>
      </c>
      <c r="BC225" s="123">
        <f t="array" ref="BC225">IF(AND(BC$2&lt;&gt;BB$2,BC$2=$D225),INDEX(Fixed_Assets,$D225),0)</f>
        <v>0</v>
      </c>
      <c r="BD225" s="123">
        <f t="array" ref="BD225">IF(AND(BD$2&lt;&gt;BC$2,BD$2=$D225),INDEX(Fixed_Assets,$D225),0)</f>
        <v>0</v>
      </c>
      <c r="BE225" s="123">
        <f t="array" ref="BE225">IF(AND(BE$2&lt;&gt;BD$2,BE$2=$D225),INDEX(Fixed_Assets,$D225),0)</f>
        <v>0</v>
      </c>
      <c r="BF225" s="123">
        <f t="array" ref="BF225">IF(AND(BF$2&lt;&gt;BE$2,BF$2=$D225),INDEX(Fixed_Assets,$D225),0)</f>
        <v>0</v>
      </c>
      <c r="BG225" s="123">
        <f t="array" ref="BG225">IF(AND(BG$2&lt;&gt;BF$2,BG$2=$D225),INDEX(Fixed_Assets,$D225),0)</f>
        <v>0</v>
      </c>
      <c r="BH225" s="123">
        <f t="array" ref="BH225">IF(AND(BH$2&lt;&gt;BG$2,BH$2=$D225),INDEX(Fixed_Assets,$D225),0)</f>
        <v>0</v>
      </c>
      <c r="BI225" s="123">
        <f t="array" ref="BI225">IF(AND(BI$2&lt;&gt;BH$2,BI$2=$D225),INDEX(Fixed_Assets,$D225),0)</f>
        <v>0</v>
      </c>
      <c r="BJ225" s="123">
        <f t="array" ref="BJ225">IF(AND(BJ$2&lt;&gt;BI$2,BJ$2=$D225),INDEX(Fixed_Assets,$D225),0)</f>
        <v>0</v>
      </c>
      <c r="BK225" s="123">
        <f t="array" ref="BK225">IF(AND(BK$2&lt;&gt;BJ$2,BK$2=$D225),INDEX(Fixed_Assets,$D225),0)</f>
        <v>0</v>
      </c>
      <c r="BL225" s="123">
        <f t="array" ref="BL225">IF(AND(BL$2&lt;&gt;BK$2,BL$2=$D225),INDEX(Fixed_Assets,$D225),0)</f>
        <v>0</v>
      </c>
      <c r="BM225" s="123">
        <f t="array" ref="BM225">IF(AND(BM$2&lt;&gt;BL$2,BM$2=$D225),INDEX(Fixed_Assets,$D225),0)</f>
        <v>0</v>
      </c>
      <c r="BN225" s="123">
        <f t="array" ref="BN225">IF(AND(BN$2&lt;&gt;BM$2,BN$2=$D225),INDEX(Fixed_Assets,$D225),0)</f>
        <v>0</v>
      </c>
      <c r="BO225" s="123">
        <f t="array" ref="BO225">IF(AND(BO$2&lt;&gt;BN$2,BO$2=$D225),INDEX(Fixed_Assets,$D225),0)</f>
        <v>0</v>
      </c>
      <c r="BP225" s="123">
        <f t="array" ref="BP225">IF(AND(BP$2&lt;&gt;BO$2,BP$2=$D225),INDEX(Fixed_Assets,$D225),0)</f>
        <v>0</v>
      </c>
      <c r="BQ225" s="123">
        <f t="array" ref="BQ225">IF(AND(BQ$2&lt;&gt;BP$2,BQ$2=$D225),INDEX(Fixed_Assets,$D225),0)</f>
        <v>0</v>
      </c>
      <c r="BR225" s="123">
        <f t="array" ref="BR225">IF(AND(BR$2&lt;&gt;BQ$2,BR$2=$D225),INDEX(Fixed_Assets,$D225),0)</f>
        <v>0</v>
      </c>
      <c r="BS225" s="92"/>
    </row>
    <row r="226" ht="13.5" customHeight="1">
      <c r="A226" s="80"/>
      <c r="B226" s="92" t="str">
        <f>"Depreciation - Year "&amp;D226</f>
        <v>Depreciation - Year 3</v>
      </c>
      <c r="C226" s="323" t="str">
        <f>Depreciation</f>
        <v>Depreciation</v>
      </c>
      <c r="D226" s="317">
        <f t="shared" si="217"/>
        <v>3</v>
      </c>
      <c r="E226" s="123">
        <f t="shared" ref="E226:I226" si="218">SUMIF($K$2:$BR$2,E$1,$K226:$BR226)</f>
        <v>0</v>
      </c>
      <c r="F226" s="123">
        <f t="shared" si="218"/>
        <v>0</v>
      </c>
      <c r="G226" s="123">
        <f t="shared" si="218"/>
        <v>0</v>
      </c>
      <c r="H226" s="123">
        <f t="shared" si="218"/>
        <v>0</v>
      </c>
      <c r="I226" s="123">
        <f t="shared" si="218"/>
        <v>0</v>
      </c>
      <c r="J226" s="314"/>
      <c r="K226" s="123" t="str">
        <f>IF(AND(J226&lt;&gt;0,ROUND(K224,0)=0),-K224,IF(K225=0,J226,-(K225*Depreciation_Rate)/12))</f>
        <v/>
      </c>
      <c r="L226" s="123" t="str">
        <f>IF(AND(K226&lt;&gt;0,ROUND(L224,0)=0),-L224,IF(L225=0,K226,-(L225*Depreciation_Rate)/12))</f>
        <v/>
      </c>
      <c r="M226" s="123" t="str">
        <f>IF(AND(L226&lt;&gt;0,ROUND(M224,0)=0),-M224,IF(M225=0,L226,-(M225*Depreciation_Rate)/12))</f>
        <v/>
      </c>
      <c r="N226" s="123" t="str">
        <f>IF(AND(M226&lt;&gt;0,ROUND(N224,0)=0),-N224,IF(N225=0,M226,-(N225*Depreciation_Rate)/12))</f>
        <v/>
      </c>
      <c r="O226" s="123" t="str">
        <f>IF(AND(N226&lt;&gt;0,ROUND(O224,0)=0),-O224,IF(O225=0,N226,-(O225*Depreciation_Rate)/12))</f>
        <v/>
      </c>
      <c r="P226" s="123" t="str">
        <f>IF(AND(O226&lt;&gt;0,ROUND(P224,0)=0),-P224,IF(P225=0,O226,-(P225*Depreciation_Rate)/12))</f>
        <v/>
      </c>
      <c r="Q226" s="123" t="str">
        <f>IF(AND(P226&lt;&gt;0,ROUND(Q224,0)=0),-Q224,IF(Q225=0,P226,-(Q225*Depreciation_Rate)/12))</f>
        <v/>
      </c>
      <c r="R226" s="123" t="str">
        <f>IF(AND(Q226&lt;&gt;0,ROUND(R224,0)=0),-R224,IF(R225=0,Q226,-(R225*Depreciation_Rate)/12))</f>
        <v/>
      </c>
      <c r="S226" s="123" t="str">
        <f>IF(AND(R226&lt;&gt;0,ROUND(S224,0)=0),-S224,IF(S225=0,R226,-(S225*Depreciation_Rate)/12))</f>
        <v/>
      </c>
      <c r="T226" s="123" t="str">
        <f>IF(AND(S226&lt;&gt;0,ROUND(T224,0)=0),-T224,IF(T225=0,S226,-(T225*Depreciation_Rate)/12))</f>
        <v/>
      </c>
      <c r="U226" s="123" t="str">
        <f>IF(AND(T226&lt;&gt;0,ROUND(U224,0)=0),-U224,IF(U225=0,T226,-(U225*Depreciation_Rate)/12))</f>
        <v/>
      </c>
      <c r="V226" s="123" t="str">
        <f>IF(AND(U226&lt;&gt;0,ROUND(V224,0)=0),-V224,IF(V225=0,U226,-(V225*Depreciation_Rate)/12))</f>
        <v/>
      </c>
      <c r="W226" s="123" t="str">
        <f>IF(AND(V226&lt;&gt;0,ROUND(W224,0)=0),-W224,IF(W225=0,V226,-(W225*Depreciation_Rate)/12))</f>
        <v/>
      </c>
      <c r="X226" s="123" t="str">
        <f>IF(AND(W226&lt;&gt;0,ROUND(X224,0)=0),-X224,IF(X225=0,W226,-(X225*Depreciation_Rate)/12))</f>
        <v/>
      </c>
      <c r="Y226" s="123" t="str">
        <f>IF(AND(X226&lt;&gt;0,ROUND(Y224,0)=0),-Y224,IF(Y225=0,X226,-(Y225*Depreciation_Rate)/12))</f>
        <v/>
      </c>
      <c r="Z226" s="123" t="str">
        <f>IF(AND(Y226&lt;&gt;0,ROUND(Z224,0)=0),-Z224,IF(Z225=0,Y226,-(Z225*Depreciation_Rate)/12))</f>
        <v/>
      </c>
      <c r="AA226" s="123" t="str">
        <f>IF(AND(Z226&lt;&gt;0,ROUND(AA224,0)=0),-AA224,IF(AA225=0,Z226,-(AA225*Depreciation_Rate)/12))</f>
        <v/>
      </c>
      <c r="AB226" s="123" t="str">
        <f>IF(AND(AA226&lt;&gt;0,ROUND(AB224,0)=0),-AB224,IF(AB225=0,AA226,-(AB225*Depreciation_Rate)/12))</f>
        <v/>
      </c>
      <c r="AC226" s="123" t="str">
        <f>IF(AND(AB226&lt;&gt;0,ROUND(AC224,0)=0),-AC224,IF(AC225=0,AB226,-(AC225*Depreciation_Rate)/12))</f>
        <v/>
      </c>
      <c r="AD226" s="123" t="str">
        <f>IF(AND(AC226&lt;&gt;0,ROUND(AD224,0)=0),-AD224,IF(AD225=0,AC226,-(AD225*Depreciation_Rate)/12))</f>
        <v/>
      </c>
      <c r="AE226" s="123" t="str">
        <f>IF(AND(AD226&lt;&gt;0,ROUND(AE224,0)=0),-AE224,IF(AE225=0,AD226,-(AE225*Depreciation_Rate)/12))</f>
        <v/>
      </c>
      <c r="AF226" s="123" t="str">
        <f>IF(AND(AE226&lt;&gt;0,ROUND(AF224,0)=0),-AF224,IF(AF225=0,AE226,-(AF225*Depreciation_Rate)/12))</f>
        <v/>
      </c>
      <c r="AG226" s="123" t="str">
        <f>IF(AND(AF226&lt;&gt;0,ROUND(AG224,0)=0),-AG224,IF(AG225=0,AF226,-(AG225*Depreciation_Rate)/12))</f>
        <v/>
      </c>
      <c r="AH226" s="123" t="str">
        <f>IF(AND(AG226&lt;&gt;0,ROUND(AH224,0)=0),-AH224,IF(AH225=0,AG226,-(AH225*Depreciation_Rate)/12))</f>
        <v/>
      </c>
      <c r="AI226" s="123" t="str">
        <f>IF(AND(AH226&lt;&gt;0,ROUND(AI224,0)=0),-AI224,IF(AI225=0,AH226,-(AI225*Depreciation_Rate)/12))</f>
        <v/>
      </c>
      <c r="AJ226" s="123" t="str">
        <f>IF(AND(AI226&lt;&gt;0,ROUND(AJ224,0)=0),-AJ224,IF(AJ225=0,AI226,-(AJ225*Depreciation_Rate)/12))</f>
        <v/>
      </c>
      <c r="AK226" s="123" t="str">
        <f>IF(AND(AJ226&lt;&gt;0,ROUND(AK224,0)=0),-AK224,IF(AK225=0,AJ226,-(AK225*Depreciation_Rate)/12))</f>
        <v/>
      </c>
      <c r="AL226" s="123" t="str">
        <f>IF(AND(AK226&lt;&gt;0,ROUND(AL224,0)=0),-AL224,IF(AL225=0,AK226,-(AL225*Depreciation_Rate)/12))</f>
        <v/>
      </c>
      <c r="AM226" s="123" t="str">
        <f>IF(AND(AL226&lt;&gt;0,ROUND(AM224,0)=0),-AM224,IF(AM225=0,AL226,-(AM225*Depreciation_Rate)/12))</f>
        <v/>
      </c>
      <c r="AN226" s="123" t="str">
        <f>IF(AND(AM226&lt;&gt;0,ROUND(AN224,0)=0),-AN224,IF(AN225=0,AM226,-(AN225*Depreciation_Rate)/12))</f>
        <v/>
      </c>
      <c r="AO226" s="123" t="str">
        <f>IF(AND(AN226&lt;&gt;0,ROUND(AO224,0)=0),-AO224,IF(AO225=0,AN226,-(AO225*Depreciation_Rate)/12))</f>
        <v/>
      </c>
      <c r="AP226" s="123" t="str">
        <f>IF(AND(AO226&lt;&gt;0,ROUND(AP224,0)=0),-AP224,IF(AP225=0,AO226,-(AP225*Depreciation_Rate)/12))</f>
        <v/>
      </c>
      <c r="AQ226" s="123" t="str">
        <f>IF(AND(AP226&lt;&gt;0,ROUND(AQ224,0)=0),-AQ224,IF(AQ225=0,AP226,-(AQ225*Depreciation_Rate)/12))</f>
        <v/>
      </c>
      <c r="AR226" s="123" t="str">
        <f>IF(AND(AQ226&lt;&gt;0,ROUND(AR224,0)=0),-AR224,IF(AR225=0,AQ226,-(AR225*Depreciation_Rate)/12))</f>
        <v/>
      </c>
      <c r="AS226" s="123" t="str">
        <f>IF(AND(AR226&lt;&gt;0,ROUND(AS224,0)=0),-AS224,IF(AS225=0,AR226,-(AS225*Depreciation_Rate)/12))</f>
        <v/>
      </c>
      <c r="AT226" s="123" t="str">
        <f>IF(AND(AS226&lt;&gt;0,ROUND(AT224,0)=0),-AT224,IF(AT225=0,AS226,-(AT225*Depreciation_Rate)/12))</f>
        <v/>
      </c>
      <c r="AU226" s="123" t="str">
        <f>IF(AND(AT226&lt;&gt;0,ROUND(AU224,0)=0),-AU224,IF(AU225=0,AT226,-(AU225*Depreciation_Rate)/12))</f>
        <v/>
      </c>
      <c r="AV226" s="123" t="str">
        <f>IF(AND(AU226&lt;&gt;0,ROUND(AV224,0)=0),-AV224,IF(AV225=0,AU226,-(AV225*Depreciation_Rate)/12))</f>
        <v/>
      </c>
      <c r="AW226" s="123" t="str">
        <f>IF(AND(AV226&lt;&gt;0,ROUND(AW224,0)=0),-AW224,IF(AW225=0,AV226,-(AW225*Depreciation_Rate)/12))</f>
        <v/>
      </c>
      <c r="AX226" s="123" t="str">
        <f>IF(AND(AW226&lt;&gt;0,ROUND(AX224,0)=0),-AX224,IF(AX225=0,AW226,-(AX225*Depreciation_Rate)/12))</f>
        <v/>
      </c>
      <c r="AY226" s="123" t="str">
        <f>IF(AND(AX226&lt;&gt;0,ROUND(AY224,0)=0),-AY224,IF(AY225=0,AX226,-(AY225*Depreciation_Rate)/12))</f>
        <v/>
      </c>
      <c r="AZ226" s="123" t="str">
        <f>IF(AND(AY226&lt;&gt;0,ROUND(AZ224,0)=0),-AZ224,IF(AZ225=0,AY226,-(AZ225*Depreciation_Rate)/12))</f>
        <v/>
      </c>
      <c r="BA226" s="123" t="str">
        <f>IF(AND(AZ226&lt;&gt;0,ROUND(BA224,0)=0),-BA224,IF(BA225=0,AZ226,-(BA225*Depreciation_Rate)/12))</f>
        <v/>
      </c>
      <c r="BB226" s="123" t="str">
        <f>IF(AND(BA226&lt;&gt;0,ROUND(BB224,0)=0),-BB224,IF(BB225=0,BA226,-(BB225*Depreciation_Rate)/12))</f>
        <v/>
      </c>
      <c r="BC226" s="123" t="str">
        <f>IF(AND(BB226&lt;&gt;0,ROUND(BC224,0)=0),-BC224,IF(BC225=0,BB226,-(BC225*Depreciation_Rate)/12))</f>
        <v/>
      </c>
      <c r="BD226" s="123" t="str">
        <f>IF(AND(BC226&lt;&gt;0,ROUND(BD224,0)=0),-BD224,IF(BD225=0,BC226,-(BD225*Depreciation_Rate)/12))</f>
        <v/>
      </c>
      <c r="BE226" s="123" t="str">
        <f>IF(AND(BD226&lt;&gt;0,ROUND(BE224,0)=0),-BE224,IF(BE225=0,BD226,-(BE225*Depreciation_Rate)/12))</f>
        <v/>
      </c>
      <c r="BF226" s="123" t="str">
        <f>IF(AND(BE226&lt;&gt;0,ROUND(BF224,0)=0),-BF224,IF(BF225=0,BE226,-(BF225*Depreciation_Rate)/12))</f>
        <v/>
      </c>
      <c r="BG226" s="123" t="str">
        <f>IF(AND(BF226&lt;&gt;0,ROUND(BG224,0)=0),-BG224,IF(BG225=0,BF226,-(BG225*Depreciation_Rate)/12))</f>
        <v/>
      </c>
      <c r="BH226" s="123" t="str">
        <f>IF(AND(BG226&lt;&gt;0,ROUND(BH224,0)=0),-BH224,IF(BH225=0,BG226,-(BH225*Depreciation_Rate)/12))</f>
        <v/>
      </c>
      <c r="BI226" s="123" t="str">
        <f>IF(AND(BH226&lt;&gt;0,ROUND(BI224,0)=0),-BI224,IF(BI225=0,BH226,-(BI225*Depreciation_Rate)/12))</f>
        <v/>
      </c>
      <c r="BJ226" s="123" t="str">
        <f>IF(AND(BI226&lt;&gt;0,ROUND(BJ224,0)=0),-BJ224,IF(BJ225=0,BI226,-(BJ225*Depreciation_Rate)/12))</f>
        <v/>
      </c>
      <c r="BK226" s="123" t="str">
        <f>IF(AND(BJ226&lt;&gt;0,ROUND(BK224,0)=0),-BK224,IF(BK225=0,BJ226,-(BK225*Depreciation_Rate)/12))</f>
        <v/>
      </c>
      <c r="BL226" s="123" t="str">
        <f>IF(AND(BK226&lt;&gt;0,ROUND(BL224,0)=0),-BL224,IF(BL225=0,BK226,-(BL225*Depreciation_Rate)/12))</f>
        <v/>
      </c>
      <c r="BM226" s="123" t="str">
        <f>IF(AND(BL226&lt;&gt;0,ROUND(BM224,0)=0),-BM224,IF(BM225=0,BL226,-(BM225*Depreciation_Rate)/12))</f>
        <v/>
      </c>
      <c r="BN226" s="123" t="str">
        <f>IF(AND(BM226&lt;&gt;0,ROUND(BN224,0)=0),-BN224,IF(BN225=0,BM226,-(BN225*Depreciation_Rate)/12))</f>
        <v/>
      </c>
      <c r="BO226" s="123" t="str">
        <f>IF(AND(BN226&lt;&gt;0,ROUND(BO224,0)=0),-BO224,IF(BO225=0,BN226,-(BO225*Depreciation_Rate)/12))</f>
        <v/>
      </c>
      <c r="BP226" s="123" t="str">
        <f>IF(AND(BO226&lt;&gt;0,ROUND(BP224,0)=0),-BP224,IF(BP225=0,BO226,-(BP225*Depreciation_Rate)/12))</f>
        <v/>
      </c>
      <c r="BQ226" s="123" t="str">
        <f>IF(AND(BP226&lt;&gt;0,ROUND(BQ224,0)=0),-BQ224,IF(BQ225=0,BP226,-(BQ225*Depreciation_Rate)/12))</f>
        <v/>
      </c>
      <c r="BR226" s="123" t="str">
        <f>IF(AND(BQ226&lt;&gt;0,ROUND(BR224,0)=0),-BR224,IF(BR225=0,BQ226,-(BR225*Depreciation_Rate)/12))</f>
        <v/>
      </c>
      <c r="BS226" s="92"/>
    </row>
    <row r="227" ht="13.5" customHeight="1">
      <c r="A227" s="80"/>
      <c r="B227" s="92" t="s">
        <v>366</v>
      </c>
      <c r="C227" s="323" t="str">
        <f>Closing</f>
        <v>Closing</v>
      </c>
      <c r="D227" s="317">
        <f t="shared" si="217"/>
        <v>3</v>
      </c>
      <c r="E227" s="123">
        <f t="shared" ref="E227:I227" si="219">INDEX($K227:$BR227,,MATCH(E$1,$K$2:$BR$2,0)+11)</f>
        <v>0</v>
      </c>
      <c r="F227" s="123">
        <f t="shared" si="219"/>
        <v>0</v>
      </c>
      <c r="G227" s="123">
        <f t="shared" si="219"/>
        <v>0</v>
      </c>
      <c r="H227" s="123">
        <f t="shared" si="219"/>
        <v>0</v>
      </c>
      <c r="I227" s="123">
        <f t="shared" si="219"/>
        <v>0</v>
      </c>
      <c r="J227" s="314"/>
      <c r="K227" s="123">
        <f t="shared" ref="K227:BR227" si="220">SUM(K224:K226)</f>
        <v>0</v>
      </c>
      <c r="L227" s="123">
        <f t="shared" si="220"/>
        <v>0</v>
      </c>
      <c r="M227" s="123">
        <f t="shared" si="220"/>
        <v>0</v>
      </c>
      <c r="N227" s="123">
        <f t="shared" si="220"/>
        <v>0</v>
      </c>
      <c r="O227" s="123">
        <f t="shared" si="220"/>
        <v>0</v>
      </c>
      <c r="P227" s="123">
        <f t="shared" si="220"/>
        <v>0</v>
      </c>
      <c r="Q227" s="123">
        <f t="shared" si="220"/>
        <v>0</v>
      </c>
      <c r="R227" s="123">
        <f t="shared" si="220"/>
        <v>0</v>
      </c>
      <c r="S227" s="123">
        <f t="shared" si="220"/>
        <v>0</v>
      </c>
      <c r="T227" s="123">
        <f t="shared" si="220"/>
        <v>0</v>
      </c>
      <c r="U227" s="123">
        <f t="shared" si="220"/>
        <v>0</v>
      </c>
      <c r="V227" s="123">
        <f t="shared" si="220"/>
        <v>0</v>
      </c>
      <c r="W227" s="123">
        <f t="shared" si="220"/>
        <v>0</v>
      </c>
      <c r="X227" s="123">
        <f t="shared" si="220"/>
        <v>0</v>
      </c>
      <c r="Y227" s="123">
        <f t="shared" si="220"/>
        <v>0</v>
      </c>
      <c r="Z227" s="123">
        <f t="shared" si="220"/>
        <v>0</v>
      </c>
      <c r="AA227" s="123">
        <f t="shared" si="220"/>
        <v>0</v>
      </c>
      <c r="AB227" s="123">
        <f t="shared" si="220"/>
        <v>0</v>
      </c>
      <c r="AC227" s="123">
        <f t="shared" si="220"/>
        <v>0</v>
      </c>
      <c r="AD227" s="123">
        <f t="shared" si="220"/>
        <v>0</v>
      </c>
      <c r="AE227" s="123">
        <f t="shared" si="220"/>
        <v>0</v>
      </c>
      <c r="AF227" s="123">
        <f t="shared" si="220"/>
        <v>0</v>
      </c>
      <c r="AG227" s="123">
        <f t="shared" si="220"/>
        <v>0</v>
      </c>
      <c r="AH227" s="123">
        <f t="shared" si="220"/>
        <v>0</v>
      </c>
      <c r="AI227" s="123">
        <f t="shared" si="220"/>
        <v>0</v>
      </c>
      <c r="AJ227" s="123">
        <f t="shared" si="220"/>
        <v>0</v>
      </c>
      <c r="AK227" s="123">
        <f t="shared" si="220"/>
        <v>0</v>
      </c>
      <c r="AL227" s="123">
        <f t="shared" si="220"/>
        <v>0</v>
      </c>
      <c r="AM227" s="123">
        <f t="shared" si="220"/>
        <v>0</v>
      </c>
      <c r="AN227" s="123">
        <f t="shared" si="220"/>
        <v>0</v>
      </c>
      <c r="AO227" s="123">
        <f t="shared" si="220"/>
        <v>0</v>
      </c>
      <c r="AP227" s="123">
        <f t="shared" si="220"/>
        <v>0</v>
      </c>
      <c r="AQ227" s="123">
        <f t="shared" si="220"/>
        <v>0</v>
      </c>
      <c r="AR227" s="123">
        <f t="shared" si="220"/>
        <v>0</v>
      </c>
      <c r="AS227" s="123">
        <f t="shared" si="220"/>
        <v>0</v>
      </c>
      <c r="AT227" s="123">
        <f t="shared" si="220"/>
        <v>0</v>
      </c>
      <c r="AU227" s="123">
        <f t="shared" si="220"/>
        <v>0</v>
      </c>
      <c r="AV227" s="123">
        <f t="shared" si="220"/>
        <v>0</v>
      </c>
      <c r="AW227" s="123">
        <f t="shared" si="220"/>
        <v>0</v>
      </c>
      <c r="AX227" s="123">
        <f t="shared" si="220"/>
        <v>0</v>
      </c>
      <c r="AY227" s="123">
        <f t="shared" si="220"/>
        <v>0</v>
      </c>
      <c r="AZ227" s="123">
        <f t="shared" si="220"/>
        <v>0</v>
      </c>
      <c r="BA227" s="123">
        <f t="shared" si="220"/>
        <v>0</v>
      </c>
      <c r="BB227" s="123">
        <f t="shared" si="220"/>
        <v>0</v>
      </c>
      <c r="BC227" s="123">
        <f t="shared" si="220"/>
        <v>0</v>
      </c>
      <c r="BD227" s="123">
        <f t="shared" si="220"/>
        <v>0</v>
      </c>
      <c r="BE227" s="123">
        <f t="shared" si="220"/>
        <v>0</v>
      </c>
      <c r="BF227" s="123">
        <f t="shared" si="220"/>
        <v>0</v>
      </c>
      <c r="BG227" s="123">
        <f t="shared" si="220"/>
        <v>0</v>
      </c>
      <c r="BH227" s="123">
        <f t="shared" si="220"/>
        <v>0</v>
      </c>
      <c r="BI227" s="123">
        <f t="shared" si="220"/>
        <v>0</v>
      </c>
      <c r="BJ227" s="123">
        <f t="shared" si="220"/>
        <v>0</v>
      </c>
      <c r="BK227" s="123">
        <f t="shared" si="220"/>
        <v>0</v>
      </c>
      <c r="BL227" s="123">
        <f t="shared" si="220"/>
        <v>0</v>
      </c>
      <c r="BM227" s="123">
        <f t="shared" si="220"/>
        <v>0</v>
      </c>
      <c r="BN227" s="123">
        <f t="shared" si="220"/>
        <v>0</v>
      </c>
      <c r="BO227" s="123">
        <f t="shared" si="220"/>
        <v>0</v>
      </c>
      <c r="BP227" s="123">
        <f t="shared" si="220"/>
        <v>0</v>
      </c>
      <c r="BQ227" s="123">
        <f t="shared" si="220"/>
        <v>0</v>
      </c>
      <c r="BR227" s="123">
        <f t="shared" si="220"/>
        <v>0</v>
      </c>
      <c r="BS227" s="92"/>
    </row>
    <row r="228" ht="13.5" customHeight="1">
      <c r="A228" s="80"/>
      <c r="B228" s="92"/>
      <c r="C228" s="323"/>
      <c r="D228" s="317"/>
      <c r="E228" s="123"/>
      <c r="F228" s="123"/>
      <c r="G228" s="123"/>
      <c r="H228" s="123"/>
      <c r="I228" s="123"/>
      <c r="J228" s="314"/>
      <c r="K228" s="123"/>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123"/>
      <c r="AH228" s="123"/>
      <c r="AI228" s="123"/>
      <c r="AJ228" s="123"/>
      <c r="AK228" s="123"/>
      <c r="AL228" s="123"/>
      <c r="AM228" s="123"/>
      <c r="AN228" s="123"/>
      <c r="AO228" s="123"/>
      <c r="AP228" s="123"/>
      <c r="AQ228" s="123"/>
      <c r="AR228" s="123"/>
      <c r="AS228" s="123"/>
      <c r="AT228" s="123"/>
      <c r="AU228" s="123"/>
      <c r="AV228" s="123"/>
      <c r="AW228" s="123"/>
      <c r="AX228" s="123"/>
      <c r="AY228" s="123"/>
      <c r="AZ228" s="123"/>
      <c r="BA228" s="123"/>
      <c r="BB228" s="123"/>
      <c r="BC228" s="123"/>
      <c r="BD228" s="123"/>
      <c r="BE228" s="123"/>
      <c r="BF228" s="123"/>
      <c r="BG228" s="123"/>
      <c r="BH228" s="123"/>
      <c r="BI228" s="123"/>
      <c r="BJ228" s="123"/>
      <c r="BK228" s="123"/>
      <c r="BL228" s="123"/>
      <c r="BM228" s="123"/>
      <c r="BN228" s="123"/>
      <c r="BO228" s="123"/>
      <c r="BP228" s="123"/>
      <c r="BQ228" s="123"/>
      <c r="BR228" s="123"/>
      <c r="BS228" s="92"/>
    </row>
    <row r="229" ht="15.75" customHeight="1">
      <c r="A229" s="106"/>
      <c r="B229" s="75" t="s">
        <v>365</v>
      </c>
      <c r="C229" s="323" t="str">
        <f>Opening</f>
        <v>Opening</v>
      </c>
      <c r="D229" s="317">
        <f>D227+1</f>
        <v>4</v>
      </c>
      <c r="E229" s="123" t="str">
        <f t="shared" ref="E229:I229" si="221">INDEX($K229:$BR229,,MATCH(E$1,$K$2:$BR$2,0))</f>
        <v/>
      </c>
      <c r="F229" s="123">
        <f t="shared" si="221"/>
        <v>0</v>
      </c>
      <c r="G229" s="123">
        <f t="shared" si="221"/>
        <v>0</v>
      </c>
      <c r="H229" s="123">
        <f t="shared" si="221"/>
        <v>0</v>
      </c>
      <c r="I229" s="123">
        <f t="shared" si="221"/>
        <v>0</v>
      </c>
      <c r="J229" s="75"/>
      <c r="K229" s="301" t="str">
        <f t="shared" ref="K229:BR229" si="222">J232</f>
        <v/>
      </c>
      <c r="L229" s="301">
        <f t="shared" si="222"/>
        <v>0</v>
      </c>
      <c r="M229" s="301">
        <f t="shared" si="222"/>
        <v>0</v>
      </c>
      <c r="N229" s="301">
        <f t="shared" si="222"/>
        <v>0</v>
      </c>
      <c r="O229" s="301">
        <f t="shared" si="222"/>
        <v>0</v>
      </c>
      <c r="P229" s="301">
        <f t="shared" si="222"/>
        <v>0</v>
      </c>
      <c r="Q229" s="301">
        <f t="shared" si="222"/>
        <v>0</v>
      </c>
      <c r="R229" s="301">
        <f t="shared" si="222"/>
        <v>0</v>
      </c>
      <c r="S229" s="301">
        <f t="shared" si="222"/>
        <v>0</v>
      </c>
      <c r="T229" s="301">
        <f t="shared" si="222"/>
        <v>0</v>
      </c>
      <c r="U229" s="301">
        <f t="shared" si="222"/>
        <v>0</v>
      </c>
      <c r="V229" s="301">
        <f t="shared" si="222"/>
        <v>0</v>
      </c>
      <c r="W229" s="301">
        <f t="shared" si="222"/>
        <v>0</v>
      </c>
      <c r="X229" s="301">
        <f t="shared" si="222"/>
        <v>0</v>
      </c>
      <c r="Y229" s="301">
        <f t="shared" si="222"/>
        <v>0</v>
      </c>
      <c r="Z229" s="301">
        <f t="shared" si="222"/>
        <v>0</v>
      </c>
      <c r="AA229" s="301">
        <f t="shared" si="222"/>
        <v>0</v>
      </c>
      <c r="AB229" s="301">
        <f t="shared" si="222"/>
        <v>0</v>
      </c>
      <c r="AC229" s="301">
        <f t="shared" si="222"/>
        <v>0</v>
      </c>
      <c r="AD229" s="301">
        <f t="shared" si="222"/>
        <v>0</v>
      </c>
      <c r="AE229" s="301">
        <f t="shared" si="222"/>
        <v>0</v>
      </c>
      <c r="AF229" s="301">
        <f t="shared" si="222"/>
        <v>0</v>
      </c>
      <c r="AG229" s="301">
        <f t="shared" si="222"/>
        <v>0</v>
      </c>
      <c r="AH229" s="301">
        <f t="shared" si="222"/>
        <v>0</v>
      </c>
      <c r="AI229" s="301">
        <f t="shared" si="222"/>
        <v>0</v>
      </c>
      <c r="AJ229" s="301">
        <f t="shared" si="222"/>
        <v>0</v>
      </c>
      <c r="AK229" s="301">
        <f t="shared" si="222"/>
        <v>0</v>
      </c>
      <c r="AL229" s="301">
        <f t="shared" si="222"/>
        <v>0</v>
      </c>
      <c r="AM229" s="301">
        <f t="shared" si="222"/>
        <v>0</v>
      </c>
      <c r="AN229" s="301">
        <f t="shared" si="222"/>
        <v>0</v>
      </c>
      <c r="AO229" s="301">
        <f t="shared" si="222"/>
        <v>0</v>
      </c>
      <c r="AP229" s="301">
        <f t="shared" si="222"/>
        <v>0</v>
      </c>
      <c r="AQ229" s="301">
        <f t="shared" si="222"/>
        <v>0</v>
      </c>
      <c r="AR229" s="301">
        <f t="shared" si="222"/>
        <v>0</v>
      </c>
      <c r="AS229" s="301">
        <f t="shared" si="222"/>
        <v>0</v>
      </c>
      <c r="AT229" s="301">
        <f t="shared" si="222"/>
        <v>0</v>
      </c>
      <c r="AU229" s="301">
        <f t="shared" si="222"/>
        <v>0</v>
      </c>
      <c r="AV229" s="301">
        <f t="shared" si="222"/>
        <v>0</v>
      </c>
      <c r="AW229" s="301">
        <f t="shared" si="222"/>
        <v>0</v>
      </c>
      <c r="AX229" s="301">
        <f t="shared" si="222"/>
        <v>0</v>
      </c>
      <c r="AY229" s="301">
        <f t="shared" si="222"/>
        <v>0</v>
      </c>
      <c r="AZ229" s="301">
        <f t="shared" si="222"/>
        <v>0</v>
      </c>
      <c r="BA229" s="301">
        <f t="shared" si="222"/>
        <v>0</v>
      </c>
      <c r="BB229" s="301">
        <f t="shared" si="222"/>
        <v>0</v>
      </c>
      <c r="BC229" s="301">
        <f t="shared" si="222"/>
        <v>0</v>
      </c>
      <c r="BD229" s="301">
        <f t="shared" si="222"/>
        <v>0</v>
      </c>
      <c r="BE229" s="301">
        <f t="shared" si="222"/>
        <v>0</v>
      </c>
      <c r="BF229" s="301">
        <f t="shared" si="222"/>
        <v>0</v>
      </c>
      <c r="BG229" s="301">
        <f t="shared" si="222"/>
        <v>0</v>
      </c>
      <c r="BH229" s="301">
        <f t="shared" si="222"/>
        <v>0</v>
      </c>
      <c r="BI229" s="301">
        <f t="shared" si="222"/>
        <v>0</v>
      </c>
      <c r="BJ229" s="301">
        <f t="shared" si="222"/>
        <v>0</v>
      </c>
      <c r="BK229" s="301">
        <f t="shared" si="222"/>
        <v>0</v>
      </c>
      <c r="BL229" s="301">
        <f t="shared" si="222"/>
        <v>0</v>
      </c>
      <c r="BM229" s="301">
        <f t="shared" si="222"/>
        <v>0</v>
      </c>
      <c r="BN229" s="301">
        <f t="shared" si="222"/>
        <v>0</v>
      </c>
      <c r="BO229" s="301">
        <f t="shared" si="222"/>
        <v>0</v>
      </c>
      <c r="BP229" s="301">
        <f t="shared" si="222"/>
        <v>0</v>
      </c>
      <c r="BQ229" s="301">
        <f t="shared" si="222"/>
        <v>0</v>
      </c>
      <c r="BR229" s="301">
        <f t="shared" si="222"/>
        <v>0</v>
      </c>
      <c r="BS229" s="75"/>
    </row>
    <row r="230" ht="13.5" customHeight="1">
      <c r="A230" s="80"/>
      <c r="B230" s="92" t="str">
        <f>"Expenditure - Year "&amp;D230</f>
        <v>Expenditure - Year 4</v>
      </c>
      <c r="C230" s="323" t="str">
        <f>Expense</f>
        <v>Expense</v>
      </c>
      <c r="D230" s="317">
        <f t="shared" ref="D230:D232" si="224">D229</f>
        <v>4</v>
      </c>
      <c r="E230" s="123">
        <f t="shared" ref="E230:I230" si="223">SUMIF($K$2:$BR$2,E$1,$K230:$BR230)</f>
        <v>0</v>
      </c>
      <c r="F230" s="123">
        <f t="shared" si="223"/>
        <v>0</v>
      </c>
      <c r="G230" s="123">
        <f t="shared" si="223"/>
        <v>0</v>
      </c>
      <c r="H230" s="123">
        <f t="shared" si="223"/>
        <v>0</v>
      </c>
      <c r="I230" s="123">
        <f t="shared" si="223"/>
        <v>0</v>
      </c>
      <c r="J230" s="314"/>
      <c r="K230" s="123">
        <f t="array" ref="K230">IF(AND(K$2&lt;&gt;J$2,K$2=$D230),INDEX(Fixed_Assets,$D230),0)</f>
        <v>0</v>
      </c>
      <c r="L230" s="123">
        <f t="array" ref="L230">IF(AND(L$2&lt;&gt;K$2,L$2=$D230),INDEX(Fixed_Assets,$D230),0)</f>
        <v>0</v>
      </c>
      <c r="M230" s="123">
        <f t="array" ref="M230">IF(AND(M$2&lt;&gt;L$2,M$2=$D230),INDEX(Fixed_Assets,$D230),0)</f>
        <v>0</v>
      </c>
      <c r="N230" s="123">
        <f t="array" ref="N230">IF(AND(N$2&lt;&gt;M$2,N$2=$D230),INDEX(Fixed_Assets,$D230),0)</f>
        <v>0</v>
      </c>
      <c r="O230" s="123">
        <f t="array" ref="O230">IF(AND(O$2&lt;&gt;N$2,O$2=$D230),INDEX(Fixed_Assets,$D230),0)</f>
        <v>0</v>
      </c>
      <c r="P230" s="123">
        <f t="array" ref="P230">IF(AND(P$2&lt;&gt;O$2,P$2=$D230),INDEX(Fixed_Assets,$D230),0)</f>
        <v>0</v>
      </c>
      <c r="Q230" s="123">
        <f t="array" ref="Q230">IF(AND(Q$2&lt;&gt;P$2,Q$2=$D230),INDEX(Fixed_Assets,$D230),0)</f>
        <v>0</v>
      </c>
      <c r="R230" s="123">
        <f t="array" ref="R230">IF(AND(R$2&lt;&gt;Q$2,R$2=$D230),INDEX(Fixed_Assets,$D230),0)</f>
        <v>0</v>
      </c>
      <c r="S230" s="123">
        <f t="array" ref="S230">IF(AND(S$2&lt;&gt;R$2,S$2=$D230),INDEX(Fixed_Assets,$D230),0)</f>
        <v>0</v>
      </c>
      <c r="T230" s="123">
        <f t="array" ref="T230">IF(AND(T$2&lt;&gt;S$2,T$2=$D230),INDEX(Fixed_Assets,$D230),0)</f>
        <v>0</v>
      </c>
      <c r="U230" s="123">
        <f t="array" ref="U230">IF(AND(U$2&lt;&gt;T$2,U$2=$D230),INDEX(Fixed_Assets,$D230),0)</f>
        <v>0</v>
      </c>
      <c r="V230" s="123">
        <f t="array" ref="V230">IF(AND(V$2&lt;&gt;U$2,V$2=$D230),INDEX(Fixed_Assets,$D230),0)</f>
        <v>0</v>
      </c>
      <c r="W230" s="123">
        <f t="array" ref="W230">IF(AND(W$2&lt;&gt;V$2,W$2=$D230),INDEX(Fixed_Assets,$D230),0)</f>
        <v>0</v>
      </c>
      <c r="X230" s="123">
        <f t="array" ref="X230">IF(AND(X$2&lt;&gt;W$2,X$2=$D230),INDEX(Fixed_Assets,$D230),0)</f>
        <v>0</v>
      </c>
      <c r="Y230" s="123">
        <f t="array" ref="Y230">IF(AND(Y$2&lt;&gt;X$2,Y$2=$D230),INDEX(Fixed_Assets,$D230),0)</f>
        <v>0</v>
      </c>
      <c r="Z230" s="123">
        <f t="array" ref="Z230">IF(AND(Z$2&lt;&gt;Y$2,Z$2=$D230),INDEX(Fixed_Assets,$D230),0)</f>
        <v>0</v>
      </c>
      <c r="AA230" s="123">
        <f t="array" ref="AA230">IF(AND(AA$2&lt;&gt;Z$2,AA$2=$D230),INDEX(Fixed_Assets,$D230),0)</f>
        <v>0</v>
      </c>
      <c r="AB230" s="123">
        <f t="array" ref="AB230">IF(AND(AB$2&lt;&gt;AA$2,AB$2=$D230),INDEX(Fixed_Assets,$D230),0)</f>
        <v>0</v>
      </c>
      <c r="AC230" s="123">
        <f t="array" ref="AC230">IF(AND(AC$2&lt;&gt;AB$2,AC$2=$D230),INDEX(Fixed_Assets,$D230),0)</f>
        <v>0</v>
      </c>
      <c r="AD230" s="123">
        <f t="array" ref="AD230">IF(AND(AD$2&lt;&gt;AC$2,AD$2=$D230),INDEX(Fixed_Assets,$D230),0)</f>
        <v>0</v>
      </c>
      <c r="AE230" s="123">
        <f t="array" ref="AE230">IF(AND(AE$2&lt;&gt;AD$2,AE$2=$D230),INDEX(Fixed_Assets,$D230),0)</f>
        <v>0</v>
      </c>
      <c r="AF230" s="123">
        <f t="array" ref="AF230">IF(AND(AF$2&lt;&gt;AE$2,AF$2=$D230),INDEX(Fixed_Assets,$D230),0)</f>
        <v>0</v>
      </c>
      <c r="AG230" s="123">
        <f t="array" ref="AG230">IF(AND(AG$2&lt;&gt;AF$2,AG$2=$D230),INDEX(Fixed_Assets,$D230),0)</f>
        <v>0</v>
      </c>
      <c r="AH230" s="123">
        <f t="array" ref="AH230">IF(AND(AH$2&lt;&gt;AG$2,AH$2=$D230),INDEX(Fixed_Assets,$D230),0)</f>
        <v>0</v>
      </c>
      <c r="AI230" s="123">
        <f t="array" ref="AI230">IF(AND(AI$2&lt;&gt;AH$2,AI$2=$D230),INDEX(Fixed_Assets,$D230),0)</f>
        <v>0</v>
      </c>
      <c r="AJ230" s="123">
        <f t="array" ref="AJ230">IF(AND(AJ$2&lt;&gt;AI$2,AJ$2=$D230),INDEX(Fixed_Assets,$D230),0)</f>
        <v>0</v>
      </c>
      <c r="AK230" s="123">
        <f t="array" ref="AK230">IF(AND(AK$2&lt;&gt;AJ$2,AK$2=$D230),INDEX(Fixed_Assets,$D230),0)</f>
        <v>0</v>
      </c>
      <c r="AL230" s="123">
        <f t="array" ref="AL230">IF(AND(AL$2&lt;&gt;AK$2,AL$2=$D230),INDEX(Fixed_Assets,$D230),0)</f>
        <v>0</v>
      </c>
      <c r="AM230" s="123">
        <f t="array" ref="AM230">IF(AND(AM$2&lt;&gt;AL$2,AM$2=$D230),INDEX(Fixed_Assets,$D230),0)</f>
        <v>0</v>
      </c>
      <c r="AN230" s="123">
        <f t="array" ref="AN230">IF(AND(AN$2&lt;&gt;AM$2,AN$2=$D230),INDEX(Fixed_Assets,$D230),0)</f>
        <v>0</v>
      </c>
      <c r="AO230" s="123">
        <f t="array" ref="AO230">IF(AND(AO$2&lt;&gt;AN$2,AO$2=$D230),INDEX(Fixed_Assets,$D230),0)</f>
        <v>0</v>
      </c>
      <c r="AP230" s="123">
        <f t="array" ref="AP230">IF(AND(AP$2&lt;&gt;AO$2,AP$2=$D230),INDEX(Fixed_Assets,$D230),0)</f>
        <v>0</v>
      </c>
      <c r="AQ230" s="123">
        <f t="array" ref="AQ230">IF(AND(AQ$2&lt;&gt;AP$2,AQ$2=$D230),INDEX(Fixed_Assets,$D230),0)</f>
        <v>0</v>
      </c>
      <c r="AR230" s="123">
        <f t="array" ref="AR230">IF(AND(AR$2&lt;&gt;AQ$2,AR$2=$D230),INDEX(Fixed_Assets,$D230),0)</f>
        <v>0</v>
      </c>
      <c r="AS230" s="123">
        <f t="array" ref="AS230">IF(AND(AS$2&lt;&gt;AR$2,AS$2=$D230),INDEX(Fixed_Assets,$D230),0)</f>
        <v>0</v>
      </c>
      <c r="AT230" s="123">
        <f t="array" ref="AT230">IF(AND(AT$2&lt;&gt;AS$2,AT$2=$D230),INDEX(Fixed_Assets,$D230),0)</f>
        <v>0</v>
      </c>
      <c r="AU230" s="123" t="str">
        <f t="array" ref="AU230">IF(AND(AU$2&lt;&gt;AT$2,AU$2=$D230),INDEX(Fixed_Assets,$D230),0)</f>
        <v/>
      </c>
      <c r="AV230" s="123">
        <f t="array" ref="AV230">IF(AND(AV$2&lt;&gt;AU$2,AV$2=$D230),INDEX(Fixed_Assets,$D230),0)</f>
        <v>0</v>
      </c>
      <c r="AW230" s="123">
        <f t="array" ref="AW230">IF(AND(AW$2&lt;&gt;AV$2,AW$2=$D230),INDEX(Fixed_Assets,$D230),0)</f>
        <v>0</v>
      </c>
      <c r="AX230" s="123">
        <f t="array" ref="AX230">IF(AND(AX$2&lt;&gt;AW$2,AX$2=$D230),INDEX(Fixed_Assets,$D230),0)</f>
        <v>0</v>
      </c>
      <c r="AY230" s="123">
        <f t="array" ref="AY230">IF(AND(AY$2&lt;&gt;AX$2,AY$2=$D230),INDEX(Fixed_Assets,$D230),0)</f>
        <v>0</v>
      </c>
      <c r="AZ230" s="123">
        <f t="array" ref="AZ230">IF(AND(AZ$2&lt;&gt;AY$2,AZ$2=$D230),INDEX(Fixed_Assets,$D230),0)</f>
        <v>0</v>
      </c>
      <c r="BA230" s="123">
        <f t="array" ref="BA230">IF(AND(BA$2&lt;&gt;AZ$2,BA$2=$D230),INDEX(Fixed_Assets,$D230),0)</f>
        <v>0</v>
      </c>
      <c r="BB230" s="123">
        <f t="array" ref="BB230">IF(AND(BB$2&lt;&gt;BA$2,BB$2=$D230),INDEX(Fixed_Assets,$D230),0)</f>
        <v>0</v>
      </c>
      <c r="BC230" s="123">
        <f t="array" ref="BC230">IF(AND(BC$2&lt;&gt;BB$2,BC$2=$D230),INDEX(Fixed_Assets,$D230),0)</f>
        <v>0</v>
      </c>
      <c r="BD230" s="123">
        <f t="array" ref="BD230">IF(AND(BD$2&lt;&gt;BC$2,BD$2=$D230),INDEX(Fixed_Assets,$D230),0)</f>
        <v>0</v>
      </c>
      <c r="BE230" s="123">
        <f t="array" ref="BE230">IF(AND(BE$2&lt;&gt;BD$2,BE$2=$D230),INDEX(Fixed_Assets,$D230),0)</f>
        <v>0</v>
      </c>
      <c r="BF230" s="123">
        <f t="array" ref="BF230">IF(AND(BF$2&lt;&gt;BE$2,BF$2=$D230),INDEX(Fixed_Assets,$D230),0)</f>
        <v>0</v>
      </c>
      <c r="BG230" s="123">
        <f t="array" ref="BG230">IF(AND(BG$2&lt;&gt;BF$2,BG$2=$D230),INDEX(Fixed_Assets,$D230),0)</f>
        <v>0</v>
      </c>
      <c r="BH230" s="123">
        <f t="array" ref="BH230">IF(AND(BH$2&lt;&gt;BG$2,BH$2=$D230),INDEX(Fixed_Assets,$D230),0)</f>
        <v>0</v>
      </c>
      <c r="BI230" s="123">
        <f t="array" ref="BI230">IF(AND(BI$2&lt;&gt;BH$2,BI$2=$D230),INDEX(Fixed_Assets,$D230),0)</f>
        <v>0</v>
      </c>
      <c r="BJ230" s="123">
        <f t="array" ref="BJ230">IF(AND(BJ$2&lt;&gt;BI$2,BJ$2=$D230),INDEX(Fixed_Assets,$D230),0)</f>
        <v>0</v>
      </c>
      <c r="BK230" s="123">
        <f t="array" ref="BK230">IF(AND(BK$2&lt;&gt;BJ$2,BK$2=$D230),INDEX(Fixed_Assets,$D230),0)</f>
        <v>0</v>
      </c>
      <c r="BL230" s="123">
        <f t="array" ref="BL230">IF(AND(BL$2&lt;&gt;BK$2,BL$2=$D230),INDEX(Fixed_Assets,$D230),0)</f>
        <v>0</v>
      </c>
      <c r="BM230" s="123">
        <f t="array" ref="BM230">IF(AND(BM$2&lt;&gt;BL$2,BM$2=$D230),INDEX(Fixed_Assets,$D230),0)</f>
        <v>0</v>
      </c>
      <c r="BN230" s="123">
        <f t="array" ref="BN230">IF(AND(BN$2&lt;&gt;BM$2,BN$2=$D230),INDEX(Fixed_Assets,$D230),0)</f>
        <v>0</v>
      </c>
      <c r="BO230" s="123">
        <f t="array" ref="BO230">IF(AND(BO$2&lt;&gt;BN$2,BO$2=$D230),INDEX(Fixed_Assets,$D230),0)</f>
        <v>0</v>
      </c>
      <c r="BP230" s="123">
        <f t="array" ref="BP230">IF(AND(BP$2&lt;&gt;BO$2,BP$2=$D230),INDEX(Fixed_Assets,$D230),0)</f>
        <v>0</v>
      </c>
      <c r="BQ230" s="123">
        <f t="array" ref="BQ230">IF(AND(BQ$2&lt;&gt;BP$2,BQ$2=$D230),INDEX(Fixed_Assets,$D230),0)</f>
        <v>0</v>
      </c>
      <c r="BR230" s="123">
        <f t="array" ref="BR230">IF(AND(BR$2&lt;&gt;BQ$2,BR$2=$D230),INDEX(Fixed_Assets,$D230),0)</f>
        <v>0</v>
      </c>
      <c r="BS230" s="92"/>
    </row>
    <row r="231" ht="13.5" customHeight="1">
      <c r="A231" s="80"/>
      <c r="B231" s="92" t="str">
        <f>"Depreciation - Year "&amp;D231</f>
        <v>Depreciation - Year 4</v>
      </c>
      <c r="C231" s="323" t="str">
        <f>Depreciation</f>
        <v>Depreciation</v>
      </c>
      <c r="D231" s="317">
        <f t="shared" si="224"/>
        <v>4</v>
      </c>
      <c r="E231" s="123">
        <f t="shared" ref="E231:I231" si="225">SUMIF($K$2:$BR$2,E$1,$K231:$BR231)</f>
        <v>0</v>
      </c>
      <c r="F231" s="123">
        <f t="shared" si="225"/>
        <v>0</v>
      </c>
      <c r="G231" s="123">
        <f t="shared" si="225"/>
        <v>0</v>
      </c>
      <c r="H231" s="123">
        <f t="shared" si="225"/>
        <v>0</v>
      </c>
      <c r="I231" s="123">
        <f t="shared" si="225"/>
        <v>0</v>
      </c>
      <c r="J231" s="314"/>
      <c r="K231" s="123" t="str">
        <f>IF(AND(J231&lt;&gt;0,ROUND(K229,0)=0),-K229,IF(K230=0,J231,-(K230*Depreciation_Rate)/12))</f>
        <v/>
      </c>
      <c r="L231" s="123" t="str">
        <f>IF(AND(K231&lt;&gt;0,ROUND(L229,0)=0),-L229,IF(L230=0,K231,-(L230*Depreciation_Rate)/12))</f>
        <v/>
      </c>
      <c r="M231" s="123" t="str">
        <f>IF(AND(L231&lt;&gt;0,ROUND(M229,0)=0),-M229,IF(M230=0,L231,-(M230*Depreciation_Rate)/12))</f>
        <v/>
      </c>
      <c r="N231" s="123" t="str">
        <f>IF(AND(M231&lt;&gt;0,ROUND(N229,0)=0),-N229,IF(N230=0,M231,-(N230*Depreciation_Rate)/12))</f>
        <v/>
      </c>
      <c r="O231" s="123" t="str">
        <f>IF(AND(N231&lt;&gt;0,ROUND(O229,0)=0),-O229,IF(O230=0,N231,-(O230*Depreciation_Rate)/12))</f>
        <v/>
      </c>
      <c r="P231" s="123" t="str">
        <f>IF(AND(O231&lt;&gt;0,ROUND(P229,0)=0),-P229,IF(P230=0,O231,-(P230*Depreciation_Rate)/12))</f>
        <v/>
      </c>
      <c r="Q231" s="123" t="str">
        <f>IF(AND(P231&lt;&gt;0,ROUND(Q229,0)=0),-Q229,IF(Q230=0,P231,-(Q230*Depreciation_Rate)/12))</f>
        <v/>
      </c>
      <c r="R231" s="123" t="str">
        <f>IF(AND(Q231&lt;&gt;0,ROUND(R229,0)=0),-R229,IF(R230=0,Q231,-(R230*Depreciation_Rate)/12))</f>
        <v/>
      </c>
      <c r="S231" s="123" t="str">
        <f>IF(AND(R231&lt;&gt;0,ROUND(S229,0)=0),-S229,IF(S230=0,R231,-(S230*Depreciation_Rate)/12))</f>
        <v/>
      </c>
      <c r="T231" s="123" t="str">
        <f>IF(AND(S231&lt;&gt;0,ROUND(T229,0)=0),-T229,IF(T230=0,S231,-(T230*Depreciation_Rate)/12))</f>
        <v/>
      </c>
      <c r="U231" s="123" t="str">
        <f>IF(AND(T231&lt;&gt;0,ROUND(U229,0)=0),-U229,IF(U230=0,T231,-(U230*Depreciation_Rate)/12))</f>
        <v/>
      </c>
      <c r="V231" s="123" t="str">
        <f>IF(AND(U231&lt;&gt;0,ROUND(V229,0)=0),-V229,IF(V230=0,U231,-(V230*Depreciation_Rate)/12))</f>
        <v/>
      </c>
      <c r="W231" s="123" t="str">
        <f>IF(AND(V231&lt;&gt;0,ROUND(W229,0)=0),-W229,IF(W230=0,V231,-(W230*Depreciation_Rate)/12))</f>
        <v/>
      </c>
      <c r="X231" s="123" t="str">
        <f>IF(AND(W231&lt;&gt;0,ROUND(X229,0)=0),-X229,IF(X230=0,W231,-(X230*Depreciation_Rate)/12))</f>
        <v/>
      </c>
      <c r="Y231" s="123" t="str">
        <f>IF(AND(X231&lt;&gt;0,ROUND(Y229,0)=0),-Y229,IF(Y230=0,X231,-(Y230*Depreciation_Rate)/12))</f>
        <v/>
      </c>
      <c r="Z231" s="123" t="str">
        <f>IF(AND(Y231&lt;&gt;0,ROUND(Z229,0)=0),-Z229,IF(Z230=0,Y231,-(Z230*Depreciation_Rate)/12))</f>
        <v/>
      </c>
      <c r="AA231" s="123" t="str">
        <f>IF(AND(Z231&lt;&gt;0,ROUND(AA229,0)=0),-AA229,IF(AA230=0,Z231,-(AA230*Depreciation_Rate)/12))</f>
        <v/>
      </c>
      <c r="AB231" s="123" t="str">
        <f>IF(AND(AA231&lt;&gt;0,ROUND(AB229,0)=0),-AB229,IF(AB230=0,AA231,-(AB230*Depreciation_Rate)/12))</f>
        <v/>
      </c>
      <c r="AC231" s="123" t="str">
        <f>IF(AND(AB231&lt;&gt;0,ROUND(AC229,0)=0),-AC229,IF(AC230=0,AB231,-(AC230*Depreciation_Rate)/12))</f>
        <v/>
      </c>
      <c r="AD231" s="123" t="str">
        <f>IF(AND(AC231&lt;&gt;0,ROUND(AD229,0)=0),-AD229,IF(AD230=0,AC231,-(AD230*Depreciation_Rate)/12))</f>
        <v/>
      </c>
      <c r="AE231" s="123" t="str">
        <f>IF(AND(AD231&lt;&gt;0,ROUND(AE229,0)=0),-AE229,IF(AE230=0,AD231,-(AE230*Depreciation_Rate)/12))</f>
        <v/>
      </c>
      <c r="AF231" s="123" t="str">
        <f>IF(AND(AE231&lt;&gt;0,ROUND(AF229,0)=0),-AF229,IF(AF230=0,AE231,-(AF230*Depreciation_Rate)/12))</f>
        <v/>
      </c>
      <c r="AG231" s="123" t="str">
        <f>IF(AND(AF231&lt;&gt;0,ROUND(AG229,0)=0),-AG229,IF(AG230=0,AF231,-(AG230*Depreciation_Rate)/12))</f>
        <v/>
      </c>
      <c r="AH231" s="123" t="str">
        <f>IF(AND(AG231&lt;&gt;0,ROUND(AH229,0)=0),-AH229,IF(AH230=0,AG231,-(AH230*Depreciation_Rate)/12))</f>
        <v/>
      </c>
      <c r="AI231" s="123" t="str">
        <f>IF(AND(AH231&lt;&gt;0,ROUND(AI229,0)=0),-AI229,IF(AI230=0,AH231,-(AI230*Depreciation_Rate)/12))</f>
        <v/>
      </c>
      <c r="AJ231" s="123" t="str">
        <f>IF(AND(AI231&lt;&gt;0,ROUND(AJ229,0)=0),-AJ229,IF(AJ230=0,AI231,-(AJ230*Depreciation_Rate)/12))</f>
        <v/>
      </c>
      <c r="AK231" s="123" t="str">
        <f>IF(AND(AJ231&lt;&gt;0,ROUND(AK229,0)=0),-AK229,IF(AK230=0,AJ231,-(AK230*Depreciation_Rate)/12))</f>
        <v/>
      </c>
      <c r="AL231" s="123" t="str">
        <f>IF(AND(AK231&lt;&gt;0,ROUND(AL229,0)=0),-AL229,IF(AL230=0,AK231,-(AL230*Depreciation_Rate)/12))</f>
        <v/>
      </c>
      <c r="AM231" s="123" t="str">
        <f>IF(AND(AL231&lt;&gt;0,ROUND(AM229,0)=0),-AM229,IF(AM230=0,AL231,-(AM230*Depreciation_Rate)/12))</f>
        <v/>
      </c>
      <c r="AN231" s="123" t="str">
        <f>IF(AND(AM231&lt;&gt;0,ROUND(AN229,0)=0),-AN229,IF(AN230=0,AM231,-(AN230*Depreciation_Rate)/12))</f>
        <v/>
      </c>
      <c r="AO231" s="123" t="str">
        <f>IF(AND(AN231&lt;&gt;0,ROUND(AO229,0)=0),-AO229,IF(AO230=0,AN231,-(AO230*Depreciation_Rate)/12))</f>
        <v/>
      </c>
      <c r="AP231" s="123" t="str">
        <f>IF(AND(AO231&lt;&gt;0,ROUND(AP229,0)=0),-AP229,IF(AP230=0,AO231,-(AP230*Depreciation_Rate)/12))</f>
        <v/>
      </c>
      <c r="AQ231" s="123" t="str">
        <f>IF(AND(AP231&lt;&gt;0,ROUND(AQ229,0)=0),-AQ229,IF(AQ230=0,AP231,-(AQ230*Depreciation_Rate)/12))</f>
        <v/>
      </c>
      <c r="AR231" s="123" t="str">
        <f>IF(AND(AQ231&lt;&gt;0,ROUND(AR229,0)=0),-AR229,IF(AR230=0,AQ231,-(AR230*Depreciation_Rate)/12))</f>
        <v/>
      </c>
      <c r="AS231" s="123" t="str">
        <f>IF(AND(AR231&lt;&gt;0,ROUND(AS229,0)=0),-AS229,IF(AS230=0,AR231,-(AS230*Depreciation_Rate)/12))</f>
        <v/>
      </c>
      <c r="AT231" s="123" t="str">
        <f>IF(AND(AS231&lt;&gt;0,ROUND(AT229,0)=0),-AT229,IF(AT230=0,AS231,-(AT230*Depreciation_Rate)/12))</f>
        <v/>
      </c>
      <c r="AU231" s="123" t="str">
        <f>IF(AND(AT231&lt;&gt;0,ROUND(AU229,0)=0),-AU229,IF(AU230=0,AT231,-(AU230*Depreciation_Rate)/12))</f>
        <v/>
      </c>
      <c r="AV231" s="123" t="str">
        <f>IF(AND(AU231&lt;&gt;0,ROUND(AV229,0)=0),-AV229,IF(AV230=0,AU231,-(AV230*Depreciation_Rate)/12))</f>
        <v/>
      </c>
      <c r="AW231" s="123" t="str">
        <f>IF(AND(AV231&lt;&gt;0,ROUND(AW229,0)=0),-AW229,IF(AW230=0,AV231,-(AW230*Depreciation_Rate)/12))</f>
        <v/>
      </c>
      <c r="AX231" s="123" t="str">
        <f>IF(AND(AW231&lt;&gt;0,ROUND(AX229,0)=0),-AX229,IF(AX230=0,AW231,-(AX230*Depreciation_Rate)/12))</f>
        <v/>
      </c>
      <c r="AY231" s="123" t="str">
        <f>IF(AND(AX231&lt;&gt;0,ROUND(AY229,0)=0),-AY229,IF(AY230=0,AX231,-(AY230*Depreciation_Rate)/12))</f>
        <v/>
      </c>
      <c r="AZ231" s="123" t="str">
        <f>IF(AND(AY231&lt;&gt;0,ROUND(AZ229,0)=0),-AZ229,IF(AZ230=0,AY231,-(AZ230*Depreciation_Rate)/12))</f>
        <v/>
      </c>
      <c r="BA231" s="123" t="str">
        <f>IF(AND(AZ231&lt;&gt;0,ROUND(BA229,0)=0),-BA229,IF(BA230=0,AZ231,-(BA230*Depreciation_Rate)/12))</f>
        <v/>
      </c>
      <c r="BB231" s="123" t="str">
        <f>IF(AND(BA231&lt;&gt;0,ROUND(BB229,0)=0),-BB229,IF(BB230=0,BA231,-(BB230*Depreciation_Rate)/12))</f>
        <v/>
      </c>
      <c r="BC231" s="123" t="str">
        <f>IF(AND(BB231&lt;&gt;0,ROUND(BC229,0)=0),-BC229,IF(BC230=0,BB231,-(BC230*Depreciation_Rate)/12))</f>
        <v/>
      </c>
      <c r="BD231" s="123" t="str">
        <f>IF(AND(BC231&lt;&gt;0,ROUND(BD229,0)=0),-BD229,IF(BD230=0,BC231,-(BD230*Depreciation_Rate)/12))</f>
        <v/>
      </c>
      <c r="BE231" s="123" t="str">
        <f>IF(AND(BD231&lt;&gt;0,ROUND(BE229,0)=0),-BE229,IF(BE230=0,BD231,-(BE230*Depreciation_Rate)/12))</f>
        <v/>
      </c>
      <c r="BF231" s="123" t="str">
        <f>IF(AND(BE231&lt;&gt;0,ROUND(BF229,0)=0),-BF229,IF(BF230=0,BE231,-(BF230*Depreciation_Rate)/12))</f>
        <v/>
      </c>
      <c r="BG231" s="123" t="str">
        <f>IF(AND(BF231&lt;&gt;0,ROUND(BG229,0)=0),-BG229,IF(BG230=0,BF231,-(BG230*Depreciation_Rate)/12))</f>
        <v/>
      </c>
      <c r="BH231" s="123" t="str">
        <f>IF(AND(BG231&lt;&gt;0,ROUND(BH229,0)=0),-BH229,IF(BH230=0,BG231,-(BH230*Depreciation_Rate)/12))</f>
        <v/>
      </c>
      <c r="BI231" s="123" t="str">
        <f>IF(AND(BH231&lt;&gt;0,ROUND(BI229,0)=0),-BI229,IF(BI230=0,BH231,-(BI230*Depreciation_Rate)/12))</f>
        <v/>
      </c>
      <c r="BJ231" s="123" t="str">
        <f>IF(AND(BI231&lt;&gt;0,ROUND(BJ229,0)=0),-BJ229,IF(BJ230=0,BI231,-(BJ230*Depreciation_Rate)/12))</f>
        <v/>
      </c>
      <c r="BK231" s="123" t="str">
        <f>IF(AND(BJ231&lt;&gt;0,ROUND(BK229,0)=0),-BK229,IF(BK230=0,BJ231,-(BK230*Depreciation_Rate)/12))</f>
        <v/>
      </c>
      <c r="BL231" s="123" t="str">
        <f>IF(AND(BK231&lt;&gt;0,ROUND(BL229,0)=0),-BL229,IF(BL230=0,BK231,-(BL230*Depreciation_Rate)/12))</f>
        <v/>
      </c>
      <c r="BM231" s="123" t="str">
        <f>IF(AND(BL231&lt;&gt;0,ROUND(BM229,0)=0),-BM229,IF(BM230=0,BL231,-(BM230*Depreciation_Rate)/12))</f>
        <v/>
      </c>
      <c r="BN231" s="123" t="str">
        <f>IF(AND(BM231&lt;&gt;0,ROUND(BN229,0)=0),-BN229,IF(BN230=0,BM231,-(BN230*Depreciation_Rate)/12))</f>
        <v/>
      </c>
      <c r="BO231" s="123" t="str">
        <f>IF(AND(BN231&lt;&gt;0,ROUND(BO229,0)=0),-BO229,IF(BO230=0,BN231,-(BO230*Depreciation_Rate)/12))</f>
        <v/>
      </c>
      <c r="BP231" s="123" t="str">
        <f>IF(AND(BO231&lt;&gt;0,ROUND(BP229,0)=0),-BP229,IF(BP230=0,BO231,-(BP230*Depreciation_Rate)/12))</f>
        <v/>
      </c>
      <c r="BQ231" s="123" t="str">
        <f>IF(AND(BP231&lt;&gt;0,ROUND(BQ229,0)=0),-BQ229,IF(BQ230=0,BP231,-(BQ230*Depreciation_Rate)/12))</f>
        <v/>
      </c>
      <c r="BR231" s="123" t="str">
        <f>IF(AND(BQ231&lt;&gt;0,ROUND(BR229,0)=0),-BR229,IF(BR230=0,BQ231,-(BR230*Depreciation_Rate)/12))</f>
        <v/>
      </c>
      <c r="BS231" s="92"/>
    </row>
    <row r="232" ht="13.5" customHeight="1">
      <c r="A232" s="80"/>
      <c r="B232" s="92" t="s">
        <v>366</v>
      </c>
      <c r="C232" s="323" t="str">
        <f>Closing</f>
        <v>Closing</v>
      </c>
      <c r="D232" s="317">
        <f t="shared" si="224"/>
        <v>4</v>
      </c>
      <c r="E232" s="123">
        <f t="shared" ref="E232:I232" si="226">INDEX($K232:$BR232,,MATCH(E$1,$K$2:$BR$2,0)+11)</f>
        <v>0</v>
      </c>
      <c r="F232" s="123">
        <f t="shared" si="226"/>
        <v>0</v>
      </c>
      <c r="G232" s="123">
        <f t="shared" si="226"/>
        <v>0</v>
      </c>
      <c r="H232" s="123">
        <f t="shared" si="226"/>
        <v>0</v>
      </c>
      <c r="I232" s="123">
        <f t="shared" si="226"/>
        <v>0</v>
      </c>
      <c r="J232" s="314"/>
      <c r="K232" s="123">
        <f t="shared" ref="K232:BR232" si="227">SUM(K229:K231)</f>
        <v>0</v>
      </c>
      <c r="L232" s="123">
        <f t="shared" si="227"/>
        <v>0</v>
      </c>
      <c r="M232" s="123">
        <f t="shared" si="227"/>
        <v>0</v>
      </c>
      <c r="N232" s="123">
        <f t="shared" si="227"/>
        <v>0</v>
      </c>
      <c r="O232" s="123">
        <f t="shared" si="227"/>
        <v>0</v>
      </c>
      <c r="P232" s="123">
        <f t="shared" si="227"/>
        <v>0</v>
      </c>
      <c r="Q232" s="123">
        <f t="shared" si="227"/>
        <v>0</v>
      </c>
      <c r="R232" s="123">
        <f t="shared" si="227"/>
        <v>0</v>
      </c>
      <c r="S232" s="123">
        <f t="shared" si="227"/>
        <v>0</v>
      </c>
      <c r="T232" s="123">
        <f t="shared" si="227"/>
        <v>0</v>
      </c>
      <c r="U232" s="123">
        <f t="shared" si="227"/>
        <v>0</v>
      </c>
      <c r="V232" s="123">
        <f t="shared" si="227"/>
        <v>0</v>
      </c>
      <c r="W232" s="123">
        <f t="shared" si="227"/>
        <v>0</v>
      </c>
      <c r="X232" s="123">
        <f t="shared" si="227"/>
        <v>0</v>
      </c>
      <c r="Y232" s="123">
        <f t="shared" si="227"/>
        <v>0</v>
      </c>
      <c r="Z232" s="123">
        <f t="shared" si="227"/>
        <v>0</v>
      </c>
      <c r="AA232" s="123">
        <f t="shared" si="227"/>
        <v>0</v>
      </c>
      <c r="AB232" s="123">
        <f t="shared" si="227"/>
        <v>0</v>
      </c>
      <c r="AC232" s="123">
        <f t="shared" si="227"/>
        <v>0</v>
      </c>
      <c r="AD232" s="123">
        <f t="shared" si="227"/>
        <v>0</v>
      </c>
      <c r="AE232" s="123">
        <f t="shared" si="227"/>
        <v>0</v>
      </c>
      <c r="AF232" s="123">
        <f t="shared" si="227"/>
        <v>0</v>
      </c>
      <c r="AG232" s="123">
        <f t="shared" si="227"/>
        <v>0</v>
      </c>
      <c r="AH232" s="123">
        <f t="shared" si="227"/>
        <v>0</v>
      </c>
      <c r="AI232" s="123">
        <f t="shared" si="227"/>
        <v>0</v>
      </c>
      <c r="AJ232" s="123">
        <f t="shared" si="227"/>
        <v>0</v>
      </c>
      <c r="AK232" s="123">
        <f t="shared" si="227"/>
        <v>0</v>
      </c>
      <c r="AL232" s="123">
        <f t="shared" si="227"/>
        <v>0</v>
      </c>
      <c r="AM232" s="123">
        <f t="shared" si="227"/>
        <v>0</v>
      </c>
      <c r="AN232" s="123">
        <f t="shared" si="227"/>
        <v>0</v>
      </c>
      <c r="AO232" s="123">
        <f t="shared" si="227"/>
        <v>0</v>
      </c>
      <c r="AP232" s="123">
        <f t="shared" si="227"/>
        <v>0</v>
      </c>
      <c r="AQ232" s="123">
        <f t="shared" si="227"/>
        <v>0</v>
      </c>
      <c r="AR232" s="123">
        <f t="shared" si="227"/>
        <v>0</v>
      </c>
      <c r="AS232" s="123">
        <f t="shared" si="227"/>
        <v>0</v>
      </c>
      <c r="AT232" s="123">
        <f t="shared" si="227"/>
        <v>0</v>
      </c>
      <c r="AU232" s="123">
        <f t="shared" si="227"/>
        <v>0</v>
      </c>
      <c r="AV232" s="123">
        <f t="shared" si="227"/>
        <v>0</v>
      </c>
      <c r="AW232" s="123">
        <f t="shared" si="227"/>
        <v>0</v>
      </c>
      <c r="AX232" s="123">
        <f t="shared" si="227"/>
        <v>0</v>
      </c>
      <c r="AY232" s="123">
        <f t="shared" si="227"/>
        <v>0</v>
      </c>
      <c r="AZ232" s="123">
        <f t="shared" si="227"/>
        <v>0</v>
      </c>
      <c r="BA232" s="123">
        <f t="shared" si="227"/>
        <v>0</v>
      </c>
      <c r="BB232" s="123">
        <f t="shared" si="227"/>
        <v>0</v>
      </c>
      <c r="BC232" s="123">
        <f t="shared" si="227"/>
        <v>0</v>
      </c>
      <c r="BD232" s="123">
        <f t="shared" si="227"/>
        <v>0</v>
      </c>
      <c r="BE232" s="123">
        <f t="shared" si="227"/>
        <v>0</v>
      </c>
      <c r="BF232" s="123">
        <f t="shared" si="227"/>
        <v>0</v>
      </c>
      <c r="BG232" s="123">
        <f t="shared" si="227"/>
        <v>0</v>
      </c>
      <c r="BH232" s="123">
        <f t="shared" si="227"/>
        <v>0</v>
      </c>
      <c r="BI232" s="123">
        <f t="shared" si="227"/>
        <v>0</v>
      </c>
      <c r="BJ232" s="123">
        <f t="shared" si="227"/>
        <v>0</v>
      </c>
      <c r="BK232" s="123">
        <f t="shared" si="227"/>
        <v>0</v>
      </c>
      <c r="BL232" s="123">
        <f t="shared" si="227"/>
        <v>0</v>
      </c>
      <c r="BM232" s="123">
        <f t="shared" si="227"/>
        <v>0</v>
      </c>
      <c r="BN232" s="123">
        <f t="shared" si="227"/>
        <v>0</v>
      </c>
      <c r="BO232" s="123">
        <f t="shared" si="227"/>
        <v>0</v>
      </c>
      <c r="BP232" s="123">
        <f t="shared" si="227"/>
        <v>0</v>
      </c>
      <c r="BQ232" s="123">
        <f t="shared" si="227"/>
        <v>0</v>
      </c>
      <c r="BR232" s="123">
        <f t="shared" si="227"/>
        <v>0</v>
      </c>
      <c r="BS232" s="92"/>
    </row>
    <row r="233" ht="13.5" customHeight="1">
      <c r="A233" s="80"/>
      <c r="B233" s="92"/>
      <c r="C233" s="323"/>
      <c r="D233" s="317"/>
      <c r="E233" s="123"/>
      <c r="F233" s="123"/>
      <c r="G233" s="123"/>
      <c r="H233" s="123"/>
      <c r="I233" s="123"/>
      <c r="J233" s="314"/>
      <c r="K233" s="123"/>
      <c r="L233" s="123"/>
      <c r="M233" s="123"/>
      <c r="N233" s="123"/>
      <c r="O233" s="123"/>
      <c r="P233" s="123"/>
      <c r="Q233" s="123"/>
      <c r="R233" s="123"/>
      <c r="S233" s="123"/>
      <c r="T233" s="123"/>
      <c r="U233" s="123"/>
      <c r="V233" s="123"/>
      <c r="W233" s="123"/>
      <c r="X233" s="123"/>
      <c r="Y233" s="123"/>
      <c r="Z233" s="123"/>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3"/>
      <c r="AZ233" s="123"/>
      <c r="BA233" s="123"/>
      <c r="BB233" s="123"/>
      <c r="BC233" s="123"/>
      <c r="BD233" s="123"/>
      <c r="BE233" s="123"/>
      <c r="BF233" s="123"/>
      <c r="BG233" s="123"/>
      <c r="BH233" s="123"/>
      <c r="BI233" s="123"/>
      <c r="BJ233" s="123"/>
      <c r="BK233" s="123"/>
      <c r="BL233" s="123"/>
      <c r="BM233" s="123"/>
      <c r="BN233" s="123"/>
      <c r="BO233" s="123"/>
      <c r="BP233" s="123"/>
      <c r="BQ233" s="123"/>
      <c r="BR233" s="123"/>
      <c r="BS233" s="92"/>
    </row>
    <row r="234" ht="15.75" customHeight="1">
      <c r="A234" s="106"/>
      <c r="B234" s="75" t="s">
        <v>365</v>
      </c>
      <c r="C234" s="323" t="str">
        <f>Opening</f>
        <v>Opening</v>
      </c>
      <c r="D234" s="317">
        <f>D232+1</f>
        <v>5</v>
      </c>
      <c r="E234" s="123" t="str">
        <f t="shared" ref="E234:I234" si="228">INDEX($K234:$BR234,,MATCH(E$1,$K$2:$BR$2,0))</f>
        <v/>
      </c>
      <c r="F234" s="123">
        <f t="shared" si="228"/>
        <v>0</v>
      </c>
      <c r="G234" s="123">
        <f t="shared" si="228"/>
        <v>0</v>
      </c>
      <c r="H234" s="123">
        <f t="shared" si="228"/>
        <v>0</v>
      </c>
      <c r="I234" s="123">
        <f t="shared" si="228"/>
        <v>0</v>
      </c>
      <c r="J234" s="75"/>
      <c r="K234" s="301" t="str">
        <f t="shared" ref="K234:BR234" si="229">J237</f>
        <v/>
      </c>
      <c r="L234" s="301">
        <f t="shared" si="229"/>
        <v>0</v>
      </c>
      <c r="M234" s="301">
        <f t="shared" si="229"/>
        <v>0</v>
      </c>
      <c r="N234" s="301">
        <f t="shared" si="229"/>
        <v>0</v>
      </c>
      <c r="O234" s="301">
        <f t="shared" si="229"/>
        <v>0</v>
      </c>
      <c r="P234" s="301">
        <f t="shared" si="229"/>
        <v>0</v>
      </c>
      <c r="Q234" s="301">
        <f t="shared" si="229"/>
        <v>0</v>
      </c>
      <c r="R234" s="301">
        <f t="shared" si="229"/>
        <v>0</v>
      </c>
      <c r="S234" s="301">
        <f t="shared" si="229"/>
        <v>0</v>
      </c>
      <c r="T234" s="301">
        <f t="shared" si="229"/>
        <v>0</v>
      </c>
      <c r="U234" s="301">
        <f t="shared" si="229"/>
        <v>0</v>
      </c>
      <c r="V234" s="301">
        <f t="shared" si="229"/>
        <v>0</v>
      </c>
      <c r="W234" s="301">
        <f t="shared" si="229"/>
        <v>0</v>
      </c>
      <c r="X234" s="301">
        <f t="shared" si="229"/>
        <v>0</v>
      </c>
      <c r="Y234" s="301">
        <f t="shared" si="229"/>
        <v>0</v>
      </c>
      <c r="Z234" s="301">
        <f t="shared" si="229"/>
        <v>0</v>
      </c>
      <c r="AA234" s="301">
        <f t="shared" si="229"/>
        <v>0</v>
      </c>
      <c r="AB234" s="301">
        <f t="shared" si="229"/>
        <v>0</v>
      </c>
      <c r="AC234" s="301">
        <f t="shared" si="229"/>
        <v>0</v>
      </c>
      <c r="AD234" s="301">
        <f t="shared" si="229"/>
        <v>0</v>
      </c>
      <c r="AE234" s="301">
        <f t="shared" si="229"/>
        <v>0</v>
      </c>
      <c r="AF234" s="301">
        <f t="shared" si="229"/>
        <v>0</v>
      </c>
      <c r="AG234" s="301">
        <f t="shared" si="229"/>
        <v>0</v>
      </c>
      <c r="AH234" s="301">
        <f t="shared" si="229"/>
        <v>0</v>
      </c>
      <c r="AI234" s="301">
        <f t="shared" si="229"/>
        <v>0</v>
      </c>
      <c r="AJ234" s="301">
        <f t="shared" si="229"/>
        <v>0</v>
      </c>
      <c r="AK234" s="301">
        <f t="shared" si="229"/>
        <v>0</v>
      </c>
      <c r="AL234" s="301">
        <f t="shared" si="229"/>
        <v>0</v>
      </c>
      <c r="AM234" s="301">
        <f t="shared" si="229"/>
        <v>0</v>
      </c>
      <c r="AN234" s="301">
        <f t="shared" si="229"/>
        <v>0</v>
      </c>
      <c r="AO234" s="301">
        <f t="shared" si="229"/>
        <v>0</v>
      </c>
      <c r="AP234" s="301">
        <f t="shared" si="229"/>
        <v>0</v>
      </c>
      <c r="AQ234" s="301">
        <f t="shared" si="229"/>
        <v>0</v>
      </c>
      <c r="AR234" s="301">
        <f t="shared" si="229"/>
        <v>0</v>
      </c>
      <c r="AS234" s="301">
        <f t="shared" si="229"/>
        <v>0</v>
      </c>
      <c r="AT234" s="301">
        <f t="shared" si="229"/>
        <v>0</v>
      </c>
      <c r="AU234" s="301">
        <f t="shared" si="229"/>
        <v>0</v>
      </c>
      <c r="AV234" s="301">
        <f t="shared" si="229"/>
        <v>0</v>
      </c>
      <c r="AW234" s="301">
        <f t="shared" si="229"/>
        <v>0</v>
      </c>
      <c r="AX234" s="301">
        <f t="shared" si="229"/>
        <v>0</v>
      </c>
      <c r="AY234" s="301">
        <f t="shared" si="229"/>
        <v>0</v>
      </c>
      <c r="AZ234" s="301">
        <f t="shared" si="229"/>
        <v>0</v>
      </c>
      <c r="BA234" s="301">
        <f t="shared" si="229"/>
        <v>0</v>
      </c>
      <c r="BB234" s="301">
        <f t="shared" si="229"/>
        <v>0</v>
      </c>
      <c r="BC234" s="301">
        <f t="shared" si="229"/>
        <v>0</v>
      </c>
      <c r="BD234" s="301">
        <f t="shared" si="229"/>
        <v>0</v>
      </c>
      <c r="BE234" s="301">
        <f t="shared" si="229"/>
        <v>0</v>
      </c>
      <c r="BF234" s="301">
        <f t="shared" si="229"/>
        <v>0</v>
      </c>
      <c r="BG234" s="301">
        <f t="shared" si="229"/>
        <v>0</v>
      </c>
      <c r="BH234" s="301">
        <f t="shared" si="229"/>
        <v>0</v>
      </c>
      <c r="BI234" s="301">
        <f t="shared" si="229"/>
        <v>0</v>
      </c>
      <c r="BJ234" s="301">
        <f t="shared" si="229"/>
        <v>0</v>
      </c>
      <c r="BK234" s="301">
        <f t="shared" si="229"/>
        <v>0</v>
      </c>
      <c r="BL234" s="301">
        <f t="shared" si="229"/>
        <v>0</v>
      </c>
      <c r="BM234" s="301">
        <f t="shared" si="229"/>
        <v>0</v>
      </c>
      <c r="BN234" s="301">
        <f t="shared" si="229"/>
        <v>0</v>
      </c>
      <c r="BO234" s="301">
        <f t="shared" si="229"/>
        <v>0</v>
      </c>
      <c r="BP234" s="301">
        <f t="shared" si="229"/>
        <v>0</v>
      </c>
      <c r="BQ234" s="301">
        <f t="shared" si="229"/>
        <v>0</v>
      </c>
      <c r="BR234" s="301">
        <f t="shared" si="229"/>
        <v>0</v>
      </c>
      <c r="BS234" s="75"/>
    </row>
    <row r="235" ht="13.5" customHeight="1">
      <c r="A235" s="80"/>
      <c r="B235" s="92" t="str">
        <f>"Expenditure - Year "&amp;D235</f>
        <v>Expenditure - Year 5</v>
      </c>
      <c r="C235" s="323" t="str">
        <f>Expense</f>
        <v>Expense</v>
      </c>
      <c r="D235" s="317">
        <f t="shared" ref="D235:D237" si="231">D234</f>
        <v>5</v>
      </c>
      <c r="E235" s="123">
        <f t="shared" ref="E235:I235" si="230">SUMIF($K$2:$BR$2,E$1,$K235:$BR235)</f>
        <v>0</v>
      </c>
      <c r="F235" s="123">
        <f t="shared" si="230"/>
        <v>0</v>
      </c>
      <c r="G235" s="123">
        <f t="shared" si="230"/>
        <v>0</v>
      </c>
      <c r="H235" s="123">
        <f t="shared" si="230"/>
        <v>0</v>
      </c>
      <c r="I235" s="123">
        <f t="shared" si="230"/>
        <v>0</v>
      </c>
      <c r="J235" s="314"/>
      <c r="K235" s="123">
        <f t="array" ref="K235">IF(AND(K$2&lt;&gt;J$2,K$2=$D235),INDEX(Fixed_Assets,$D235),0)</f>
        <v>0</v>
      </c>
      <c r="L235" s="123">
        <f t="array" ref="L235">IF(AND(L$2&lt;&gt;K$2,L$2=$D235),INDEX(Fixed_Assets,$D235),0)</f>
        <v>0</v>
      </c>
      <c r="M235" s="123">
        <f t="array" ref="M235">IF(AND(M$2&lt;&gt;L$2,M$2=$D235),INDEX(Fixed_Assets,$D235),0)</f>
        <v>0</v>
      </c>
      <c r="N235" s="123">
        <f t="array" ref="N235">IF(AND(N$2&lt;&gt;M$2,N$2=$D235),INDEX(Fixed_Assets,$D235),0)</f>
        <v>0</v>
      </c>
      <c r="O235" s="123">
        <f t="array" ref="O235">IF(AND(O$2&lt;&gt;N$2,O$2=$D235),INDEX(Fixed_Assets,$D235),0)</f>
        <v>0</v>
      </c>
      <c r="P235" s="123">
        <f t="array" ref="P235">IF(AND(P$2&lt;&gt;O$2,P$2=$D235),INDEX(Fixed_Assets,$D235),0)</f>
        <v>0</v>
      </c>
      <c r="Q235" s="123">
        <f t="array" ref="Q235">IF(AND(Q$2&lt;&gt;P$2,Q$2=$D235),INDEX(Fixed_Assets,$D235),0)</f>
        <v>0</v>
      </c>
      <c r="R235" s="123">
        <f t="array" ref="R235">IF(AND(R$2&lt;&gt;Q$2,R$2=$D235),INDEX(Fixed_Assets,$D235),0)</f>
        <v>0</v>
      </c>
      <c r="S235" s="123">
        <f t="array" ref="S235">IF(AND(S$2&lt;&gt;R$2,S$2=$D235),INDEX(Fixed_Assets,$D235),0)</f>
        <v>0</v>
      </c>
      <c r="T235" s="123">
        <f t="array" ref="T235">IF(AND(T$2&lt;&gt;S$2,T$2=$D235),INDEX(Fixed_Assets,$D235),0)</f>
        <v>0</v>
      </c>
      <c r="U235" s="123">
        <f t="array" ref="U235">IF(AND(U$2&lt;&gt;T$2,U$2=$D235),INDEX(Fixed_Assets,$D235),0)</f>
        <v>0</v>
      </c>
      <c r="V235" s="123">
        <f t="array" ref="V235">IF(AND(V$2&lt;&gt;U$2,V$2=$D235),INDEX(Fixed_Assets,$D235),0)</f>
        <v>0</v>
      </c>
      <c r="W235" s="123">
        <f t="array" ref="W235">IF(AND(W$2&lt;&gt;V$2,W$2=$D235),INDEX(Fixed_Assets,$D235),0)</f>
        <v>0</v>
      </c>
      <c r="X235" s="123">
        <f t="array" ref="X235">IF(AND(X$2&lt;&gt;W$2,X$2=$D235),INDEX(Fixed_Assets,$D235),0)</f>
        <v>0</v>
      </c>
      <c r="Y235" s="123">
        <f t="array" ref="Y235">IF(AND(Y$2&lt;&gt;X$2,Y$2=$D235),INDEX(Fixed_Assets,$D235),0)</f>
        <v>0</v>
      </c>
      <c r="Z235" s="123">
        <f t="array" ref="Z235">IF(AND(Z$2&lt;&gt;Y$2,Z$2=$D235),INDEX(Fixed_Assets,$D235),0)</f>
        <v>0</v>
      </c>
      <c r="AA235" s="123">
        <f t="array" ref="AA235">IF(AND(AA$2&lt;&gt;Z$2,AA$2=$D235),INDEX(Fixed_Assets,$D235),0)</f>
        <v>0</v>
      </c>
      <c r="AB235" s="123">
        <f t="array" ref="AB235">IF(AND(AB$2&lt;&gt;AA$2,AB$2=$D235),INDEX(Fixed_Assets,$D235),0)</f>
        <v>0</v>
      </c>
      <c r="AC235" s="123">
        <f t="array" ref="AC235">IF(AND(AC$2&lt;&gt;AB$2,AC$2=$D235),INDEX(Fixed_Assets,$D235),0)</f>
        <v>0</v>
      </c>
      <c r="AD235" s="123">
        <f t="array" ref="AD235">IF(AND(AD$2&lt;&gt;AC$2,AD$2=$D235),INDEX(Fixed_Assets,$D235),0)</f>
        <v>0</v>
      </c>
      <c r="AE235" s="123">
        <f t="array" ref="AE235">IF(AND(AE$2&lt;&gt;AD$2,AE$2=$D235),INDEX(Fixed_Assets,$D235),0)</f>
        <v>0</v>
      </c>
      <c r="AF235" s="123">
        <f t="array" ref="AF235">IF(AND(AF$2&lt;&gt;AE$2,AF$2=$D235),INDEX(Fixed_Assets,$D235),0)</f>
        <v>0</v>
      </c>
      <c r="AG235" s="123">
        <f t="array" ref="AG235">IF(AND(AG$2&lt;&gt;AF$2,AG$2=$D235),INDEX(Fixed_Assets,$D235),0)</f>
        <v>0</v>
      </c>
      <c r="AH235" s="123">
        <f t="array" ref="AH235">IF(AND(AH$2&lt;&gt;AG$2,AH$2=$D235),INDEX(Fixed_Assets,$D235),0)</f>
        <v>0</v>
      </c>
      <c r="AI235" s="123">
        <f t="array" ref="AI235">IF(AND(AI$2&lt;&gt;AH$2,AI$2=$D235),INDEX(Fixed_Assets,$D235),0)</f>
        <v>0</v>
      </c>
      <c r="AJ235" s="123">
        <f t="array" ref="AJ235">IF(AND(AJ$2&lt;&gt;AI$2,AJ$2=$D235),INDEX(Fixed_Assets,$D235),0)</f>
        <v>0</v>
      </c>
      <c r="AK235" s="123">
        <f t="array" ref="AK235">IF(AND(AK$2&lt;&gt;AJ$2,AK$2=$D235),INDEX(Fixed_Assets,$D235),0)</f>
        <v>0</v>
      </c>
      <c r="AL235" s="123">
        <f t="array" ref="AL235">IF(AND(AL$2&lt;&gt;AK$2,AL$2=$D235),INDEX(Fixed_Assets,$D235),0)</f>
        <v>0</v>
      </c>
      <c r="AM235" s="123">
        <f t="array" ref="AM235">IF(AND(AM$2&lt;&gt;AL$2,AM$2=$D235),INDEX(Fixed_Assets,$D235),0)</f>
        <v>0</v>
      </c>
      <c r="AN235" s="123">
        <f t="array" ref="AN235">IF(AND(AN$2&lt;&gt;AM$2,AN$2=$D235),INDEX(Fixed_Assets,$D235),0)</f>
        <v>0</v>
      </c>
      <c r="AO235" s="123">
        <f t="array" ref="AO235">IF(AND(AO$2&lt;&gt;AN$2,AO$2=$D235),INDEX(Fixed_Assets,$D235),0)</f>
        <v>0</v>
      </c>
      <c r="AP235" s="123">
        <f t="array" ref="AP235">IF(AND(AP$2&lt;&gt;AO$2,AP$2=$D235),INDEX(Fixed_Assets,$D235),0)</f>
        <v>0</v>
      </c>
      <c r="AQ235" s="123">
        <f t="array" ref="AQ235">IF(AND(AQ$2&lt;&gt;AP$2,AQ$2=$D235),INDEX(Fixed_Assets,$D235),0)</f>
        <v>0</v>
      </c>
      <c r="AR235" s="123">
        <f t="array" ref="AR235">IF(AND(AR$2&lt;&gt;AQ$2,AR$2=$D235),INDEX(Fixed_Assets,$D235),0)</f>
        <v>0</v>
      </c>
      <c r="AS235" s="123">
        <f t="array" ref="AS235">IF(AND(AS$2&lt;&gt;AR$2,AS$2=$D235),INDEX(Fixed_Assets,$D235),0)</f>
        <v>0</v>
      </c>
      <c r="AT235" s="123">
        <f t="array" ref="AT235">IF(AND(AT$2&lt;&gt;AS$2,AT$2=$D235),INDEX(Fixed_Assets,$D235),0)</f>
        <v>0</v>
      </c>
      <c r="AU235" s="123">
        <f t="array" ref="AU235">IF(AND(AU$2&lt;&gt;AT$2,AU$2=$D235),INDEX(Fixed_Assets,$D235),0)</f>
        <v>0</v>
      </c>
      <c r="AV235" s="123">
        <f t="array" ref="AV235">IF(AND(AV$2&lt;&gt;AU$2,AV$2=$D235),INDEX(Fixed_Assets,$D235),0)</f>
        <v>0</v>
      </c>
      <c r="AW235" s="123">
        <f t="array" ref="AW235">IF(AND(AW$2&lt;&gt;AV$2,AW$2=$D235),INDEX(Fixed_Assets,$D235),0)</f>
        <v>0</v>
      </c>
      <c r="AX235" s="123">
        <f t="array" ref="AX235">IF(AND(AX$2&lt;&gt;AW$2,AX$2=$D235),INDEX(Fixed_Assets,$D235),0)</f>
        <v>0</v>
      </c>
      <c r="AY235" s="123">
        <f t="array" ref="AY235">IF(AND(AY$2&lt;&gt;AX$2,AY$2=$D235),INDEX(Fixed_Assets,$D235),0)</f>
        <v>0</v>
      </c>
      <c r="AZ235" s="123">
        <f t="array" ref="AZ235">IF(AND(AZ$2&lt;&gt;AY$2,AZ$2=$D235),INDEX(Fixed_Assets,$D235),0)</f>
        <v>0</v>
      </c>
      <c r="BA235" s="123">
        <f t="array" ref="BA235">IF(AND(BA$2&lt;&gt;AZ$2,BA$2=$D235),INDEX(Fixed_Assets,$D235),0)</f>
        <v>0</v>
      </c>
      <c r="BB235" s="123">
        <f t="array" ref="BB235">IF(AND(BB$2&lt;&gt;BA$2,BB$2=$D235),INDEX(Fixed_Assets,$D235),0)</f>
        <v>0</v>
      </c>
      <c r="BC235" s="123">
        <f t="array" ref="BC235">IF(AND(BC$2&lt;&gt;BB$2,BC$2=$D235),INDEX(Fixed_Assets,$D235),0)</f>
        <v>0</v>
      </c>
      <c r="BD235" s="123">
        <f t="array" ref="BD235">IF(AND(BD$2&lt;&gt;BC$2,BD$2=$D235),INDEX(Fixed_Assets,$D235),0)</f>
        <v>0</v>
      </c>
      <c r="BE235" s="123">
        <f t="array" ref="BE235">IF(AND(BE$2&lt;&gt;BD$2,BE$2=$D235),INDEX(Fixed_Assets,$D235),0)</f>
        <v>0</v>
      </c>
      <c r="BF235" s="123">
        <f t="array" ref="BF235">IF(AND(BF$2&lt;&gt;BE$2,BF$2=$D235),INDEX(Fixed_Assets,$D235),0)</f>
        <v>0</v>
      </c>
      <c r="BG235" s="123" t="str">
        <f t="array" ref="BG235">IF(AND(BG$2&lt;&gt;BF$2,BG$2=$D235),INDEX(Fixed_Assets,$D235),0)</f>
        <v/>
      </c>
      <c r="BH235" s="123">
        <f t="array" ref="BH235">IF(AND(BH$2&lt;&gt;BG$2,BH$2=$D235),INDEX(Fixed_Assets,$D235),0)</f>
        <v>0</v>
      </c>
      <c r="BI235" s="123">
        <f t="array" ref="BI235">IF(AND(BI$2&lt;&gt;BH$2,BI$2=$D235),INDEX(Fixed_Assets,$D235),0)</f>
        <v>0</v>
      </c>
      <c r="BJ235" s="123">
        <f t="array" ref="BJ235">IF(AND(BJ$2&lt;&gt;BI$2,BJ$2=$D235),INDEX(Fixed_Assets,$D235),0)</f>
        <v>0</v>
      </c>
      <c r="BK235" s="123">
        <f t="array" ref="BK235">IF(AND(BK$2&lt;&gt;BJ$2,BK$2=$D235),INDEX(Fixed_Assets,$D235),0)</f>
        <v>0</v>
      </c>
      <c r="BL235" s="123">
        <f t="array" ref="BL235">IF(AND(BL$2&lt;&gt;BK$2,BL$2=$D235),INDEX(Fixed_Assets,$D235),0)</f>
        <v>0</v>
      </c>
      <c r="BM235" s="123">
        <f t="array" ref="BM235">IF(AND(BM$2&lt;&gt;BL$2,BM$2=$D235),INDEX(Fixed_Assets,$D235),0)</f>
        <v>0</v>
      </c>
      <c r="BN235" s="123">
        <f t="array" ref="BN235">IF(AND(BN$2&lt;&gt;BM$2,BN$2=$D235),INDEX(Fixed_Assets,$D235),0)</f>
        <v>0</v>
      </c>
      <c r="BO235" s="123">
        <f t="array" ref="BO235">IF(AND(BO$2&lt;&gt;BN$2,BO$2=$D235),INDEX(Fixed_Assets,$D235),0)</f>
        <v>0</v>
      </c>
      <c r="BP235" s="123">
        <f t="array" ref="BP235">IF(AND(BP$2&lt;&gt;BO$2,BP$2=$D235),INDEX(Fixed_Assets,$D235),0)</f>
        <v>0</v>
      </c>
      <c r="BQ235" s="123">
        <f t="array" ref="BQ235">IF(AND(BQ$2&lt;&gt;BP$2,BQ$2=$D235),INDEX(Fixed_Assets,$D235),0)</f>
        <v>0</v>
      </c>
      <c r="BR235" s="123">
        <f t="array" ref="BR235">IF(AND(BR$2&lt;&gt;BQ$2,BR$2=$D235),INDEX(Fixed_Assets,$D235),0)</f>
        <v>0</v>
      </c>
      <c r="BS235" s="92"/>
    </row>
    <row r="236" ht="13.5" customHeight="1">
      <c r="A236" s="80"/>
      <c r="B236" s="92" t="str">
        <f>"Depreciation - Year "&amp;D236</f>
        <v>Depreciation - Year 5</v>
      </c>
      <c r="C236" s="323" t="str">
        <f>Depreciation</f>
        <v>Depreciation</v>
      </c>
      <c r="D236" s="317">
        <f t="shared" si="231"/>
        <v>5</v>
      </c>
      <c r="E236" s="123">
        <f t="shared" ref="E236:I236" si="232">SUMIF($K$2:$BR$2,E$1,$K236:$BR236)</f>
        <v>0</v>
      </c>
      <c r="F236" s="123">
        <f t="shared" si="232"/>
        <v>0</v>
      </c>
      <c r="G236" s="123">
        <f t="shared" si="232"/>
        <v>0</v>
      </c>
      <c r="H236" s="123">
        <f t="shared" si="232"/>
        <v>0</v>
      </c>
      <c r="I236" s="123">
        <f t="shared" si="232"/>
        <v>0</v>
      </c>
      <c r="J236" s="314"/>
      <c r="K236" s="123" t="str">
        <f>IF(AND(J236&lt;&gt;0,ROUND(K234,0)=0),-K234,IF(K235=0,J236,-(K235*Depreciation_Rate)/12))</f>
        <v/>
      </c>
      <c r="L236" s="123" t="str">
        <f>IF(AND(K236&lt;&gt;0,ROUND(L234,0)=0),-L234,IF(L235=0,K236,-(L235*Depreciation_Rate)/12))</f>
        <v/>
      </c>
      <c r="M236" s="123" t="str">
        <f>IF(AND(L236&lt;&gt;0,ROUND(M234,0)=0),-M234,IF(M235=0,L236,-(M235*Depreciation_Rate)/12))</f>
        <v/>
      </c>
      <c r="N236" s="123" t="str">
        <f>IF(AND(M236&lt;&gt;0,ROUND(N234,0)=0),-N234,IF(N235=0,M236,-(N235*Depreciation_Rate)/12))</f>
        <v/>
      </c>
      <c r="O236" s="123" t="str">
        <f>IF(AND(N236&lt;&gt;0,ROUND(O234,0)=0),-O234,IF(O235=0,N236,-(O235*Depreciation_Rate)/12))</f>
        <v/>
      </c>
      <c r="P236" s="123" t="str">
        <f>IF(AND(O236&lt;&gt;0,ROUND(P234,0)=0),-P234,IF(P235=0,O236,-(P235*Depreciation_Rate)/12))</f>
        <v/>
      </c>
      <c r="Q236" s="123" t="str">
        <f>IF(AND(P236&lt;&gt;0,ROUND(Q234,0)=0),-Q234,IF(Q235=0,P236,-(Q235*Depreciation_Rate)/12))</f>
        <v/>
      </c>
      <c r="R236" s="123" t="str">
        <f>IF(AND(Q236&lt;&gt;0,ROUND(R234,0)=0),-R234,IF(R235=0,Q236,-(R235*Depreciation_Rate)/12))</f>
        <v/>
      </c>
      <c r="S236" s="123" t="str">
        <f>IF(AND(R236&lt;&gt;0,ROUND(S234,0)=0),-S234,IF(S235=0,R236,-(S235*Depreciation_Rate)/12))</f>
        <v/>
      </c>
      <c r="T236" s="123" t="str">
        <f>IF(AND(S236&lt;&gt;0,ROUND(T234,0)=0),-T234,IF(T235=0,S236,-(T235*Depreciation_Rate)/12))</f>
        <v/>
      </c>
      <c r="U236" s="123" t="str">
        <f>IF(AND(T236&lt;&gt;0,ROUND(U234,0)=0),-U234,IF(U235=0,T236,-(U235*Depreciation_Rate)/12))</f>
        <v/>
      </c>
      <c r="V236" s="123" t="str">
        <f>IF(AND(U236&lt;&gt;0,ROUND(V234,0)=0),-V234,IF(V235=0,U236,-(V235*Depreciation_Rate)/12))</f>
        <v/>
      </c>
      <c r="W236" s="123" t="str">
        <f>IF(AND(V236&lt;&gt;0,ROUND(W234,0)=0),-W234,IF(W235=0,V236,-(W235*Depreciation_Rate)/12))</f>
        <v/>
      </c>
      <c r="X236" s="123" t="str">
        <f>IF(AND(W236&lt;&gt;0,ROUND(X234,0)=0),-X234,IF(X235=0,W236,-(X235*Depreciation_Rate)/12))</f>
        <v/>
      </c>
      <c r="Y236" s="123" t="str">
        <f>IF(AND(X236&lt;&gt;0,ROUND(Y234,0)=0),-Y234,IF(Y235=0,X236,-(Y235*Depreciation_Rate)/12))</f>
        <v/>
      </c>
      <c r="Z236" s="123" t="str">
        <f>IF(AND(Y236&lt;&gt;0,ROUND(Z234,0)=0),-Z234,IF(Z235=0,Y236,-(Z235*Depreciation_Rate)/12))</f>
        <v/>
      </c>
      <c r="AA236" s="123" t="str">
        <f>IF(AND(Z236&lt;&gt;0,ROUND(AA234,0)=0),-AA234,IF(AA235=0,Z236,-(AA235*Depreciation_Rate)/12))</f>
        <v/>
      </c>
      <c r="AB236" s="123" t="str">
        <f>IF(AND(AA236&lt;&gt;0,ROUND(AB234,0)=0),-AB234,IF(AB235=0,AA236,-(AB235*Depreciation_Rate)/12))</f>
        <v/>
      </c>
      <c r="AC236" s="123" t="str">
        <f>IF(AND(AB236&lt;&gt;0,ROUND(AC234,0)=0),-AC234,IF(AC235=0,AB236,-(AC235*Depreciation_Rate)/12))</f>
        <v/>
      </c>
      <c r="AD236" s="123" t="str">
        <f>IF(AND(AC236&lt;&gt;0,ROUND(AD234,0)=0),-AD234,IF(AD235=0,AC236,-(AD235*Depreciation_Rate)/12))</f>
        <v/>
      </c>
      <c r="AE236" s="123" t="str">
        <f>IF(AND(AD236&lt;&gt;0,ROUND(AE234,0)=0),-AE234,IF(AE235=0,AD236,-(AE235*Depreciation_Rate)/12))</f>
        <v/>
      </c>
      <c r="AF236" s="123" t="str">
        <f>IF(AND(AE236&lt;&gt;0,ROUND(AF234,0)=0),-AF234,IF(AF235=0,AE236,-(AF235*Depreciation_Rate)/12))</f>
        <v/>
      </c>
      <c r="AG236" s="123" t="str">
        <f>IF(AND(AF236&lt;&gt;0,ROUND(AG234,0)=0),-AG234,IF(AG235=0,AF236,-(AG235*Depreciation_Rate)/12))</f>
        <v/>
      </c>
      <c r="AH236" s="123" t="str">
        <f>IF(AND(AG236&lt;&gt;0,ROUND(AH234,0)=0),-AH234,IF(AH235=0,AG236,-(AH235*Depreciation_Rate)/12))</f>
        <v/>
      </c>
      <c r="AI236" s="123" t="str">
        <f>IF(AND(AH236&lt;&gt;0,ROUND(AI234,0)=0),-AI234,IF(AI235=0,AH236,-(AI235*Depreciation_Rate)/12))</f>
        <v/>
      </c>
      <c r="AJ236" s="123" t="str">
        <f>IF(AND(AI236&lt;&gt;0,ROUND(AJ234,0)=0),-AJ234,IF(AJ235=0,AI236,-(AJ235*Depreciation_Rate)/12))</f>
        <v/>
      </c>
      <c r="AK236" s="123" t="str">
        <f>IF(AND(AJ236&lt;&gt;0,ROUND(AK234,0)=0),-AK234,IF(AK235=0,AJ236,-(AK235*Depreciation_Rate)/12))</f>
        <v/>
      </c>
      <c r="AL236" s="123" t="str">
        <f>IF(AND(AK236&lt;&gt;0,ROUND(AL234,0)=0),-AL234,IF(AL235=0,AK236,-(AL235*Depreciation_Rate)/12))</f>
        <v/>
      </c>
      <c r="AM236" s="123" t="str">
        <f>IF(AND(AL236&lt;&gt;0,ROUND(AM234,0)=0),-AM234,IF(AM235=0,AL236,-(AM235*Depreciation_Rate)/12))</f>
        <v/>
      </c>
      <c r="AN236" s="123" t="str">
        <f>IF(AND(AM236&lt;&gt;0,ROUND(AN234,0)=0),-AN234,IF(AN235=0,AM236,-(AN235*Depreciation_Rate)/12))</f>
        <v/>
      </c>
      <c r="AO236" s="123" t="str">
        <f>IF(AND(AN236&lt;&gt;0,ROUND(AO234,0)=0),-AO234,IF(AO235=0,AN236,-(AO235*Depreciation_Rate)/12))</f>
        <v/>
      </c>
      <c r="AP236" s="123" t="str">
        <f>IF(AND(AO236&lt;&gt;0,ROUND(AP234,0)=0),-AP234,IF(AP235=0,AO236,-(AP235*Depreciation_Rate)/12))</f>
        <v/>
      </c>
      <c r="AQ236" s="123" t="str">
        <f>IF(AND(AP236&lt;&gt;0,ROUND(AQ234,0)=0),-AQ234,IF(AQ235=0,AP236,-(AQ235*Depreciation_Rate)/12))</f>
        <v/>
      </c>
      <c r="AR236" s="123" t="str">
        <f>IF(AND(AQ236&lt;&gt;0,ROUND(AR234,0)=0),-AR234,IF(AR235=0,AQ236,-(AR235*Depreciation_Rate)/12))</f>
        <v/>
      </c>
      <c r="AS236" s="123" t="str">
        <f>IF(AND(AR236&lt;&gt;0,ROUND(AS234,0)=0),-AS234,IF(AS235=0,AR236,-(AS235*Depreciation_Rate)/12))</f>
        <v/>
      </c>
      <c r="AT236" s="123" t="str">
        <f>IF(AND(AS236&lt;&gt;0,ROUND(AT234,0)=0),-AT234,IF(AT235=0,AS236,-(AT235*Depreciation_Rate)/12))</f>
        <v/>
      </c>
      <c r="AU236" s="123" t="str">
        <f>IF(AND(AT236&lt;&gt;0,ROUND(AU234,0)=0),-AU234,IF(AU235=0,AT236,-(AU235*Depreciation_Rate)/12))</f>
        <v/>
      </c>
      <c r="AV236" s="123" t="str">
        <f>IF(AND(AU236&lt;&gt;0,ROUND(AV234,0)=0),-AV234,IF(AV235=0,AU236,-(AV235*Depreciation_Rate)/12))</f>
        <v/>
      </c>
      <c r="AW236" s="123" t="str">
        <f>IF(AND(AV236&lt;&gt;0,ROUND(AW234,0)=0),-AW234,IF(AW235=0,AV236,-(AW235*Depreciation_Rate)/12))</f>
        <v/>
      </c>
      <c r="AX236" s="123" t="str">
        <f>IF(AND(AW236&lt;&gt;0,ROUND(AX234,0)=0),-AX234,IF(AX235=0,AW236,-(AX235*Depreciation_Rate)/12))</f>
        <v/>
      </c>
      <c r="AY236" s="123" t="str">
        <f>IF(AND(AX236&lt;&gt;0,ROUND(AY234,0)=0),-AY234,IF(AY235=0,AX236,-(AY235*Depreciation_Rate)/12))</f>
        <v/>
      </c>
      <c r="AZ236" s="123" t="str">
        <f>IF(AND(AY236&lt;&gt;0,ROUND(AZ234,0)=0),-AZ234,IF(AZ235=0,AY236,-(AZ235*Depreciation_Rate)/12))</f>
        <v/>
      </c>
      <c r="BA236" s="123" t="str">
        <f>IF(AND(AZ236&lt;&gt;0,ROUND(BA234,0)=0),-BA234,IF(BA235=0,AZ236,-(BA235*Depreciation_Rate)/12))</f>
        <v/>
      </c>
      <c r="BB236" s="123" t="str">
        <f>IF(AND(BA236&lt;&gt;0,ROUND(BB234,0)=0),-BB234,IF(BB235=0,BA236,-(BB235*Depreciation_Rate)/12))</f>
        <v/>
      </c>
      <c r="BC236" s="123" t="str">
        <f>IF(AND(BB236&lt;&gt;0,ROUND(BC234,0)=0),-BC234,IF(BC235=0,BB236,-(BC235*Depreciation_Rate)/12))</f>
        <v/>
      </c>
      <c r="BD236" s="123" t="str">
        <f>IF(AND(BC236&lt;&gt;0,ROUND(BD234,0)=0),-BD234,IF(BD235=0,BC236,-(BD235*Depreciation_Rate)/12))</f>
        <v/>
      </c>
      <c r="BE236" s="123" t="str">
        <f>IF(AND(BD236&lt;&gt;0,ROUND(BE234,0)=0),-BE234,IF(BE235=0,BD236,-(BE235*Depreciation_Rate)/12))</f>
        <v/>
      </c>
      <c r="BF236" s="123" t="str">
        <f>IF(AND(BE236&lt;&gt;0,ROUND(BF234,0)=0),-BF234,IF(BF235=0,BE236,-(BF235*Depreciation_Rate)/12))</f>
        <v/>
      </c>
      <c r="BG236" s="123" t="str">
        <f>IF(AND(BF236&lt;&gt;0,ROUND(BG234,0)=0),-BG234,IF(BG235=0,BF236,-(BG235*Depreciation_Rate)/12))</f>
        <v/>
      </c>
      <c r="BH236" s="123" t="str">
        <f>IF(AND(BG236&lt;&gt;0,ROUND(BH234,0)=0),-BH234,IF(BH235=0,BG236,-(BH235*Depreciation_Rate)/12))</f>
        <v/>
      </c>
      <c r="BI236" s="123" t="str">
        <f>IF(AND(BH236&lt;&gt;0,ROUND(BI234,0)=0),-BI234,IF(BI235=0,BH236,-(BI235*Depreciation_Rate)/12))</f>
        <v/>
      </c>
      <c r="BJ236" s="123" t="str">
        <f>IF(AND(BI236&lt;&gt;0,ROUND(BJ234,0)=0),-BJ234,IF(BJ235=0,BI236,-(BJ235*Depreciation_Rate)/12))</f>
        <v/>
      </c>
      <c r="BK236" s="123" t="str">
        <f>IF(AND(BJ236&lt;&gt;0,ROUND(BK234,0)=0),-BK234,IF(BK235=0,BJ236,-(BK235*Depreciation_Rate)/12))</f>
        <v/>
      </c>
      <c r="BL236" s="123" t="str">
        <f>IF(AND(BK236&lt;&gt;0,ROUND(BL234,0)=0),-BL234,IF(BL235=0,BK236,-(BL235*Depreciation_Rate)/12))</f>
        <v/>
      </c>
      <c r="BM236" s="123" t="str">
        <f>IF(AND(BL236&lt;&gt;0,ROUND(BM234,0)=0),-BM234,IF(BM235=0,BL236,-(BM235*Depreciation_Rate)/12))</f>
        <v/>
      </c>
      <c r="BN236" s="123" t="str">
        <f>IF(AND(BM236&lt;&gt;0,ROUND(BN234,0)=0),-BN234,IF(BN235=0,BM236,-(BN235*Depreciation_Rate)/12))</f>
        <v/>
      </c>
      <c r="BO236" s="123" t="str">
        <f>IF(AND(BN236&lt;&gt;0,ROUND(BO234,0)=0),-BO234,IF(BO235=0,BN236,-(BO235*Depreciation_Rate)/12))</f>
        <v/>
      </c>
      <c r="BP236" s="123" t="str">
        <f>IF(AND(BO236&lt;&gt;0,ROUND(BP234,0)=0),-BP234,IF(BP235=0,BO236,-(BP235*Depreciation_Rate)/12))</f>
        <v/>
      </c>
      <c r="BQ236" s="123" t="str">
        <f>IF(AND(BP236&lt;&gt;0,ROUND(BQ234,0)=0),-BQ234,IF(BQ235=0,BP236,-(BQ235*Depreciation_Rate)/12))</f>
        <v/>
      </c>
      <c r="BR236" s="123" t="str">
        <f>IF(AND(BQ236&lt;&gt;0,ROUND(BR234,0)=0),-BR234,IF(BR235=0,BQ236,-(BR235*Depreciation_Rate)/12))</f>
        <v/>
      </c>
      <c r="BS236" s="92"/>
    </row>
    <row r="237" ht="13.5" customHeight="1">
      <c r="A237" s="80"/>
      <c r="B237" s="92" t="s">
        <v>366</v>
      </c>
      <c r="C237" s="323" t="str">
        <f>Closing</f>
        <v>Closing</v>
      </c>
      <c r="D237" s="317">
        <f t="shared" si="231"/>
        <v>5</v>
      </c>
      <c r="E237" s="123">
        <f t="shared" ref="E237:I237" si="233">INDEX($K237:$BR237,,MATCH(E$1,$K$2:$BR$2,0)+11)</f>
        <v>0</v>
      </c>
      <c r="F237" s="123">
        <f t="shared" si="233"/>
        <v>0</v>
      </c>
      <c r="G237" s="123">
        <f t="shared" si="233"/>
        <v>0</v>
      </c>
      <c r="H237" s="123">
        <f t="shared" si="233"/>
        <v>0</v>
      </c>
      <c r="I237" s="123">
        <f t="shared" si="233"/>
        <v>0</v>
      </c>
      <c r="J237" s="314"/>
      <c r="K237" s="123">
        <f t="shared" ref="K237:BR237" si="234">SUM(K234:K236)</f>
        <v>0</v>
      </c>
      <c r="L237" s="123">
        <f t="shared" si="234"/>
        <v>0</v>
      </c>
      <c r="M237" s="123">
        <f t="shared" si="234"/>
        <v>0</v>
      </c>
      <c r="N237" s="123">
        <f t="shared" si="234"/>
        <v>0</v>
      </c>
      <c r="O237" s="123">
        <f t="shared" si="234"/>
        <v>0</v>
      </c>
      <c r="P237" s="123">
        <f t="shared" si="234"/>
        <v>0</v>
      </c>
      <c r="Q237" s="123">
        <f t="shared" si="234"/>
        <v>0</v>
      </c>
      <c r="R237" s="123">
        <f t="shared" si="234"/>
        <v>0</v>
      </c>
      <c r="S237" s="123">
        <f t="shared" si="234"/>
        <v>0</v>
      </c>
      <c r="T237" s="123">
        <f t="shared" si="234"/>
        <v>0</v>
      </c>
      <c r="U237" s="123">
        <f t="shared" si="234"/>
        <v>0</v>
      </c>
      <c r="V237" s="123">
        <f t="shared" si="234"/>
        <v>0</v>
      </c>
      <c r="W237" s="123">
        <f t="shared" si="234"/>
        <v>0</v>
      </c>
      <c r="X237" s="123">
        <f t="shared" si="234"/>
        <v>0</v>
      </c>
      <c r="Y237" s="123">
        <f t="shared" si="234"/>
        <v>0</v>
      </c>
      <c r="Z237" s="123">
        <f t="shared" si="234"/>
        <v>0</v>
      </c>
      <c r="AA237" s="123">
        <f t="shared" si="234"/>
        <v>0</v>
      </c>
      <c r="AB237" s="123">
        <f t="shared" si="234"/>
        <v>0</v>
      </c>
      <c r="AC237" s="123">
        <f t="shared" si="234"/>
        <v>0</v>
      </c>
      <c r="AD237" s="123">
        <f t="shared" si="234"/>
        <v>0</v>
      </c>
      <c r="AE237" s="123">
        <f t="shared" si="234"/>
        <v>0</v>
      </c>
      <c r="AF237" s="123">
        <f t="shared" si="234"/>
        <v>0</v>
      </c>
      <c r="AG237" s="123">
        <f t="shared" si="234"/>
        <v>0</v>
      </c>
      <c r="AH237" s="123">
        <f t="shared" si="234"/>
        <v>0</v>
      </c>
      <c r="AI237" s="123">
        <f t="shared" si="234"/>
        <v>0</v>
      </c>
      <c r="AJ237" s="123">
        <f t="shared" si="234"/>
        <v>0</v>
      </c>
      <c r="AK237" s="123">
        <f t="shared" si="234"/>
        <v>0</v>
      </c>
      <c r="AL237" s="123">
        <f t="shared" si="234"/>
        <v>0</v>
      </c>
      <c r="AM237" s="123">
        <f t="shared" si="234"/>
        <v>0</v>
      </c>
      <c r="AN237" s="123">
        <f t="shared" si="234"/>
        <v>0</v>
      </c>
      <c r="AO237" s="123">
        <f t="shared" si="234"/>
        <v>0</v>
      </c>
      <c r="AP237" s="123">
        <f t="shared" si="234"/>
        <v>0</v>
      </c>
      <c r="AQ237" s="123">
        <f t="shared" si="234"/>
        <v>0</v>
      </c>
      <c r="AR237" s="123">
        <f t="shared" si="234"/>
        <v>0</v>
      </c>
      <c r="AS237" s="123">
        <f t="shared" si="234"/>
        <v>0</v>
      </c>
      <c r="AT237" s="123">
        <f t="shared" si="234"/>
        <v>0</v>
      </c>
      <c r="AU237" s="123">
        <f t="shared" si="234"/>
        <v>0</v>
      </c>
      <c r="AV237" s="123">
        <f t="shared" si="234"/>
        <v>0</v>
      </c>
      <c r="AW237" s="123">
        <f t="shared" si="234"/>
        <v>0</v>
      </c>
      <c r="AX237" s="123">
        <f t="shared" si="234"/>
        <v>0</v>
      </c>
      <c r="AY237" s="123">
        <f t="shared" si="234"/>
        <v>0</v>
      </c>
      <c r="AZ237" s="123">
        <f t="shared" si="234"/>
        <v>0</v>
      </c>
      <c r="BA237" s="123">
        <f t="shared" si="234"/>
        <v>0</v>
      </c>
      <c r="BB237" s="123">
        <f t="shared" si="234"/>
        <v>0</v>
      </c>
      <c r="BC237" s="123">
        <f t="shared" si="234"/>
        <v>0</v>
      </c>
      <c r="BD237" s="123">
        <f t="shared" si="234"/>
        <v>0</v>
      </c>
      <c r="BE237" s="123">
        <f t="shared" si="234"/>
        <v>0</v>
      </c>
      <c r="BF237" s="123">
        <f t="shared" si="234"/>
        <v>0</v>
      </c>
      <c r="BG237" s="123">
        <f t="shared" si="234"/>
        <v>0</v>
      </c>
      <c r="BH237" s="123">
        <f t="shared" si="234"/>
        <v>0</v>
      </c>
      <c r="BI237" s="123">
        <f t="shared" si="234"/>
        <v>0</v>
      </c>
      <c r="BJ237" s="123">
        <f t="shared" si="234"/>
        <v>0</v>
      </c>
      <c r="BK237" s="123">
        <f t="shared" si="234"/>
        <v>0</v>
      </c>
      <c r="BL237" s="123">
        <f t="shared" si="234"/>
        <v>0</v>
      </c>
      <c r="BM237" s="123">
        <f t="shared" si="234"/>
        <v>0</v>
      </c>
      <c r="BN237" s="123">
        <f t="shared" si="234"/>
        <v>0</v>
      </c>
      <c r="BO237" s="123">
        <f t="shared" si="234"/>
        <v>0</v>
      </c>
      <c r="BP237" s="123">
        <f t="shared" si="234"/>
        <v>0</v>
      </c>
      <c r="BQ237" s="123">
        <f t="shared" si="234"/>
        <v>0</v>
      </c>
      <c r="BR237" s="123">
        <f t="shared" si="234"/>
        <v>0</v>
      </c>
      <c r="BS237" s="92"/>
    </row>
    <row r="238" ht="7.5" customHeight="1">
      <c r="A238" s="80"/>
      <c r="B238" s="75"/>
      <c r="C238" s="81"/>
      <c r="D238" s="82"/>
      <c r="E238" s="123"/>
      <c r="F238" s="123"/>
      <c r="G238" s="123"/>
      <c r="H238" s="123"/>
      <c r="I238" s="123"/>
      <c r="J238" s="82"/>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c r="BD238" s="286"/>
      <c r="BE238" s="286"/>
      <c r="BF238" s="286"/>
      <c r="BG238" s="286"/>
      <c r="BH238" s="286"/>
      <c r="BI238" s="286"/>
      <c r="BJ238" s="286"/>
      <c r="BK238" s="286"/>
      <c r="BL238" s="286"/>
      <c r="BM238" s="286"/>
      <c r="BN238" s="286"/>
      <c r="BO238" s="286"/>
      <c r="BP238" s="286"/>
      <c r="BQ238" s="286"/>
      <c r="BR238" s="286"/>
      <c r="BS238" s="82"/>
    </row>
    <row r="239" ht="15.75" customHeight="1">
      <c r="A239" s="80"/>
      <c r="B239" s="298" t="s">
        <v>143</v>
      </c>
      <c r="C239" s="324" t="str">
        <f>Expense</f>
        <v>Expense</v>
      </c>
      <c r="D239" s="102"/>
      <c r="E239" s="132">
        <f t="shared" ref="E239:I239" si="235">SUMIF($K$2:$BR$2,E$1,$K239:$BR239)</f>
        <v>177825</v>
      </c>
      <c r="F239" s="132">
        <f t="shared" si="235"/>
        <v>0</v>
      </c>
      <c r="G239" s="132">
        <f t="shared" si="235"/>
        <v>0</v>
      </c>
      <c r="H239" s="132">
        <f t="shared" si="235"/>
        <v>0</v>
      </c>
      <c r="I239" s="132">
        <f t="shared" si="235"/>
        <v>0</v>
      </c>
      <c r="J239" s="92"/>
      <c r="K239" s="132">
        <f t="shared" ref="K239:BR239" si="236">SUMIFS(K$215:K$238,$C$215:$C$238,$C$239)</f>
        <v>177825</v>
      </c>
      <c r="L239" s="132">
        <f t="shared" si="236"/>
        <v>0</v>
      </c>
      <c r="M239" s="132">
        <f t="shared" si="236"/>
        <v>0</v>
      </c>
      <c r="N239" s="132">
        <f t="shared" si="236"/>
        <v>0</v>
      </c>
      <c r="O239" s="132">
        <f t="shared" si="236"/>
        <v>0</v>
      </c>
      <c r="P239" s="132">
        <f t="shared" si="236"/>
        <v>0</v>
      </c>
      <c r="Q239" s="132">
        <f t="shared" si="236"/>
        <v>0</v>
      </c>
      <c r="R239" s="132">
        <f t="shared" si="236"/>
        <v>0</v>
      </c>
      <c r="S239" s="132">
        <f t="shared" si="236"/>
        <v>0</v>
      </c>
      <c r="T239" s="132">
        <f t="shared" si="236"/>
        <v>0</v>
      </c>
      <c r="U239" s="132">
        <f t="shared" si="236"/>
        <v>0</v>
      </c>
      <c r="V239" s="132">
        <f t="shared" si="236"/>
        <v>0</v>
      </c>
      <c r="W239" s="132">
        <f t="shared" si="236"/>
        <v>0</v>
      </c>
      <c r="X239" s="132">
        <f t="shared" si="236"/>
        <v>0</v>
      </c>
      <c r="Y239" s="132">
        <f t="shared" si="236"/>
        <v>0</v>
      </c>
      <c r="Z239" s="132">
        <f t="shared" si="236"/>
        <v>0</v>
      </c>
      <c r="AA239" s="132">
        <f t="shared" si="236"/>
        <v>0</v>
      </c>
      <c r="AB239" s="132">
        <f t="shared" si="236"/>
        <v>0</v>
      </c>
      <c r="AC239" s="132">
        <f t="shared" si="236"/>
        <v>0</v>
      </c>
      <c r="AD239" s="132">
        <f t="shared" si="236"/>
        <v>0</v>
      </c>
      <c r="AE239" s="132">
        <f t="shared" si="236"/>
        <v>0</v>
      </c>
      <c r="AF239" s="132">
        <f t="shared" si="236"/>
        <v>0</v>
      </c>
      <c r="AG239" s="132">
        <f t="shared" si="236"/>
        <v>0</v>
      </c>
      <c r="AH239" s="132">
        <f t="shared" si="236"/>
        <v>0</v>
      </c>
      <c r="AI239" s="132">
        <f t="shared" si="236"/>
        <v>0</v>
      </c>
      <c r="AJ239" s="132">
        <f t="shared" si="236"/>
        <v>0</v>
      </c>
      <c r="AK239" s="132">
        <f t="shared" si="236"/>
        <v>0</v>
      </c>
      <c r="AL239" s="132">
        <f t="shared" si="236"/>
        <v>0</v>
      </c>
      <c r="AM239" s="132">
        <f t="shared" si="236"/>
        <v>0</v>
      </c>
      <c r="AN239" s="132">
        <f t="shared" si="236"/>
        <v>0</v>
      </c>
      <c r="AO239" s="132">
        <f t="shared" si="236"/>
        <v>0</v>
      </c>
      <c r="AP239" s="132">
        <f t="shared" si="236"/>
        <v>0</v>
      </c>
      <c r="AQ239" s="132">
        <f t="shared" si="236"/>
        <v>0</v>
      </c>
      <c r="AR239" s="132">
        <f t="shared" si="236"/>
        <v>0</v>
      </c>
      <c r="AS239" s="132">
        <f t="shared" si="236"/>
        <v>0</v>
      </c>
      <c r="AT239" s="132">
        <f t="shared" si="236"/>
        <v>0</v>
      </c>
      <c r="AU239" s="132">
        <f t="shared" si="236"/>
        <v>0</v>
      </c>
      <c r="AV239" s="132">
        <f t="shared" si="236"/>
        <v>0</v>
      </c>
      <c r="AW239" s="132">
        <f t="shared" si="236"/>
        <v>0</v>
      </c>
      <c r="AX239" s="132">
        <f t="shared" si="236"/>
        <v>0</v>
      </c>
      <c r="AY239" s="132">
        <f t="shared" si="236"/>
        <v>0</v>
      </c>
      <c r="AZ239" s="132">
        <f t="shared" si="236"/>
        <v>0</v>
      </c>
      <c r="BA239" s="132">
        <f t="shared" si="236"/>
        <v>0</v>
      </c>
      <c r="BB239" s="132">
        <f t="shared" si="236"/>
        <v>0</v>
      </c>
      <c r="BC239" s="132">
        <f t="shared" si="236"/>
        <v>0</v>
      </c>
      <c r="BD239" s="132">
        <f t="shared" si="236"/>
        <v>0</v>
      </c>
      <c r="BE239" s="132">
        <f t="shared" si="236"/>
        <v>0</v>
      </c>
      <c r="BF239" s="132">
        <f t="shared" si="236"/>
        <v>0</v>
      </c>
      <c r="BG239" s="132">
        <f t="shared" si="236"/>
        <v>0</v>
      </c>
      <c r="BH239" s="132">
        <f t="shared" si="236"/>
        <v>0</v>
      </c>
      <c r="BI239" s="132">
        <f t="shared" si="236"/>
        <v>0</v>
      </c>
      <c r="BJ239" s="132">
        <f t="shared" si="236"/>
        <v>0</v>
      </c>
      <c r="BK239" s="132">
        <f t="shared" si="236"/>
        <v>0</v>
      </c>
      <c r="BL239" s="132">
        <f t="shared" si="236"/>
        <v>0</v>
      </c>
      <c r="BM239" s="132">
        <f t="shared" si="236"/>
        <v>0</v>
      </c>
      <c r="BN239" s="132">
        <f t="shared" si="236"/>
        <v>0</v>
      </c>
      <c r="BO239" s="132">
        <f t="shared" si="236"/>
        <v>0</v>
      </c>
      <c r="BP239" s="132">
        <f t="shared" si="236"/>
        <v>0</v>
      </c>
      <c r="BQ239" s="132">
        <f t="shared" si="236"/>
        <v>0</v>
      </c>
      <c r="BR239" s="132">
        <f t="shared" si="236"/>
        <v>0</v>
      </c>
      <c r="BS239" s="75"/>
    </row>
    <row r="240" ht="7.5" customHeight="1">
      <c r="A240" s="80"/>
      <c r="B240" s="75"/>
      <c r="C240" s="325"/>
      <c r="D240" s="82"/>
      <c r="E240" s="82"/>
      <c r="F240" s="82"/>
      <c r="G240" s="82"/>
      <c r="H240" s="82"/>
      <c r="I240" s="82"/>
      <c r="J240" s="82"/>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c r="BD240" s="286"/>
      <c r="BE240" s="286"/>
      <c r="BF240" s="286"/>
      <c r="BG240" s="286"/>
      <c r="BH240" s="286"/>
      <c r="BI240" s="286"/>
      <c r="BJ240" s="286"/>
      <c r="BK240" s="286"/>
      <c r="BL240" s="286"/>
      <c r="BM240" s="286"/>
      <c r="BN240" s="286"/>
      <c r="BO240" s="286"/>
      <c r="BP240" s="286"/>
      <c r="BQ240" s="286"/>
      <c r="BR240" s="286"/>
      <c r="BS240" s="82"/>
    </row>
    <row r="241" ht="15.75" customHeight="1">
      <c r="A241" s="80"/>
      <c r="B241" s="298" t="s">
        <v>144</v>
      </c>
      <c r="C241" s="324" t="str">
        <f>Depreciation</f>
        <v>Depreciation</v>
      </c>
      <c r="D241" s="102"/>
      <c r="E241" s="132">
        <f t="shared" ref="E241:I241" si="237">SUMIF($K$2:$BR$2,E$1,$K241:$BR241)</f>
        <v>-44456.25</v>
      </c>
      <c r="F241" s="132">
        <f t="shared" si="237"/>
        <v>-44456.25</v>
      </c>
      <c r="G241" s="132">
        <f t="shared" si="237"/>
        <v>-44456.25</v>
      </c>
      <c r="H241" s="132">
        <f t="shared" si="237"/>
        <v>-44456.25</v>
      </c>
      <c r="I241" s="132">
        <f t="shared" si="237"/>
        <v>0</v>
      </c>
      <c r="J241" s="92"/>
      <c r="K241" s="132">
        <f t="shared" ref="K241:BR241" si="238">SUMIFS(K$215:K$238,$C$215:$C$238,$C$241)</f>
        <v>-3704.6875</v>
      </c>
      <c r="L241" s="132">
        <f t="shared" si="238"/>
        <v>-3704.6875</v>
      </c>
      <c r="M241" s="132">
        <f t="shared" si="238"/>
        <v>-3704.6875</v>
      </c>
      <c r="N241" s="132">
        <f t="shared" si="238"/>
        <v>-3704.6875</v>
      </c>
      <c r="O241" s="132">
        <f t="shared" si="238"/>
        <v>-3704.6875</v>
      </c>
      <c r="P241" s="132">
        <f t="shared" si="238"/>
        <v>-3704.6875</v>
      </c>
      <c r="Q241" s="132">
        <f t="shared" si="238"/>
        <v>-3704.6875</v>
      </c>
      <c r="R241" s="132">
        <f t="shared" si="238"/>
        <v>-3704.6875</v>
      </c>
      <c r="S241" s="132">
        <f t="shared" si="238"/>
        <v>-3704.6875</v>
      </c>
      <c r="T241" s="132">
        <f t="shared" si="238"/>
        <v>-3704.6875</v>
      </c>
      <c r="U241" s="132">
        <f t="shared" si="238"/>
        <v>-3704.6875</v>
      </c>
      <c r="V241" s="132">
        <f t="shared" si="238"/>
        <v>-3704.6875</v>
      </c>
      <c r="W241" s="132">
        <f t="shared" si="238"/>
        <v>-3704.6875</v>
      </c>
      <c r="X241" s="132">
        <f t="shared" si="238"/>
        <v>-3704.6875</v>
      </c>
      <c r="Y241" s="132">
        <f t="shared" si="238"/>
        <v>-3704.6875</v>
      </c>
      <c r="Z241" s="132">
        <f t="shared" si="238"/>
        <v>-3704.6875</v>
      </c>
      <c r="AA241" s="132">
        <f t="shared" si="238"/>
        <v>-3704.6875</v>
      </c>
      <c r="AB241" s="132">
        <f t="shared" si="238"/>
        <v>-3704.6875</v>
      </c>
      <c r="AC241" s="132">
        <f t="shared" si="238"/>
        <v>-3704.6875</v>
      </c>
      <c r="AD241" s="132">
        <f t="shared" si="238"/>
        <v>-3704.6875</v>
      </c>
      <c r="AE241" s="132">
        <f t="shared" si="238"/>
        <v>-3704.6875</v>
      </c>
      <c r="AF241" s="132">
        <f t="shared" si="238"/>
        <v>-3704.6875</v>
      </c>
      <c r="AG241" s="132">
        <f t="shared" si="238"/>
        <v>-3704.6875</v>
      </c>
      <c r="AH241" s="132">
        <f t="shared" si="238"/>
        <v>-3704.6875</v>
      </c>
      <c r="AI241" s="132">
        <f t="shared" si="238"/>
        <v>-3704.6875</v>
      </c>
      <c r="AJ241" s="132">
        <f t="shared" si="238"/>
        <v>-3704.6875</v>
      </c>
      <c r="AK241" s="132">
        <f t="shared" si="238"/>
        <v>-3704.6875</v>
      </c>
      <c r="AL241" s="132">
        <f t="shared" si="238"/>
        <v>-3704.6875</v>
      </c>
      <c r="AM241" s="132">
        <f t="shared" si="238"/>
        <v>-3704.6875</v>
      </c>
      <c r="AN241" s="132">
        <f t="shared" si="238"/>
        <v>-3704.6875</v>
      </c>
      <c r="AO241" s="132">
        <f t="shared" si="238"/>
        <v>-3704.6875</v>
      </c>
      <c r="AP241" s="132">
        <f t="shared" si="238"/>
        <v>-3704.6875</v>
      </c>
      <c r="AQ241" s="132">
        <f t="shared" si="238"/>
        <v>-3704.6875</v>
      </c>
      <c r="AR241" s="132">
        <f t="shared" si="238"/>
        <v>-3704.6875</v>
      </c>
      <c r="AS241" s="132">
        <f t="shared" si="238"/>
        <v>-3704.6875</v>
      </c>
      <c r="AT241" s="132">
        <f t="shared" si="238"/>
        <v>-3704.6875</v>
      </c>
      <c r="AU241" s="132">
        <f t="shared" si="238"/>
        <v>-3704.6875</v>
      </c>
      <c r="AV241" s="132">
        <f t="shared" si="238"/>
        <v>-3704.6875</v>
      </c>
      <c r="AW241" s="132">
        <f t="shared" si="238"/>
        <v>-3704.6875</v>
      </c>
      <c r="AX241" s="132">
        <f t="shared" si="238"/>
        <v>-3704.6875</v>
      </c>
      <c r="AY241" s="132">
        <f t="shared" si="238"/>
        <v>-3704.6875</v>
      </c>
      <c r="AZ241" s="132">
        <f t="shared" si="238"/>
        <v>-3704.6875</v>
      </c>
      <c r="BA241" s="132">
        <f t="shared" si="238"/>
        <v>-3704.6875</v>
      </c>
      <c r="BB241" s="132">
        <f t="shared" si="238"/>
        <v>-3704.6875</v>
      </c>
      <c r="BC241" s="132">
        <f t="shared" si="238"/>
        <v>-3704.6875</v>
      </c>
      <c r="BD241" s="132">
        <f t="shared" si="238"/>
        <v>-3704.6875</v>
      </c>
      <c r="BE241" s="132">
        <f t="shared" si="238"/>
        <v>-3704.6875</v>
      </c>
      <c r="BF241" s="132">
        <f t="shared" si="238"/>
        <v>-3704.6875</v>
      </c>
      <c r="BG241" s="132">
        <f t="shared" si="238"/>
        <v>0</v>
      </c>
      <c r="BH241" s="132">
        <f t="shared" si="238"/>
        <v>0</v>
      </c>
      <c r="BI241" s="132">
        <f t="shared" si="238"/>
        <v>0</v>
      </c>
      <c r="BJ241" s="132">
        <f t="shared" si="238"/>
        <v>0</v>
      </c>
      <c r="BK241" s="132">
        <f t="shared" si="238"/>
        <v>0</v>
      </c>
      <c r="BL241" s="132">
        <f t="shared" si="238"/>
        <v>0</v>
      </c>
      <c r="BM241" s="132">
        <f t="shared" si="238"/>
        <v>0</v>
      </c>
      <c r="BN241" s="132">
        <f t="shared" si="238"/>
        <v>0</v>
      </c>
      <c r="BO241" s="132">
        <f t="shared" si="238"/>
        <v>0</v>
      </c>
      <c r="BP241" s="132">
        <f t="shared" si="238"/>
        <v>0</v>
      </c>
      <c r="BQ241" s="132">
        <f t="shared" si="238"/>
        <v>0</v>
      </c>
      <c r="BR241" s="132">
        <f t="shared" si="238"/>
        <v>0</v>
      </c>
      <c r="BS241" s="75"/>
    </row>
    <row r="242" ht="7.5" customHeight="1">
      <c r="A242" s="80"/>
      <c r="B242" s="75"/>
      <c r="C242" s="326"/>
      <c r="D242" s="82"/>
      <c r="E242" s="82"/>
      <c r="F242" s="82"/>
      <c r="G242" s="82"/>
      <c r="H242" s="82"/>
      <c r="I242" s="82"/>
      <c r="J242" s="82"/>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c r="BD242" s="286"/>
      <c r="BE242" s="286"/>
      <c r="BF242" s="286"/>
      <c r="BG242" s="286"/>
      <c r="BH242" s="286"/>
      <c r="BI242" s="286"/>
      <c r="BJ242" s="286"/>
      <c r="BK242" s="286"/>
      <c r="BL242" s="286"/>
      <c r="BM242" s="286"/>
      <c r="BN242" s="286"/>
      <c r="BO242" s="286"/>
      <c r="BP242" s="286"/>
      <c r="BQ242" s="286"/>
      <c r="BR242" s="286"/>
      <c r="BS242" s="82"/>
    </row>
    <row r="243" ht="15.75" customHeight="1">
      <c r="A243" s="80"/>
      <c r="B243" s="98" t="s">
        <v>145</v>
      </c>
      <c r="C243" s="327" t="str">
        <f>Closing</f>
        <v>Closing</v>
      </c>
      <c r="D243" s="99"/>
      <c r="E243" s="300">
        <f t="shared" ref="E243:I243" si="239">INDEX($K243:$BR243,,MATCH(E$1,$K$2:$BR$2,0)+11)</f>
        <v>133368.75</v>
      </c>
      <c r="F243" s="300">
        <f t="shared" si="239"/>
        <v>88912.5</v>
      </c>
      <c r="G243" s="300">
        <f t="shared" si="239"/>
        <v>44456.25</v>
      </c>
      <c r="H243" s="300">
        <f t="shared" si="239"/>
        <v>0</v>
      </c>
      <c r="I243" s="300">
        <f t="shared" si="239"/>
        <v>0</v>
      </c>
      <c r="J243" s="92"/>
      <c r="K243" s="300">
        <f t="shared" ref="K243:BR243" si="240">SUMIFS(K$215:K$238,$C$215:$C$238,$C$243)</f>
        <v>174120.3125</v>
      </c>
      <c r="L243" s="300">
        <f t="shared" si="240"/>
        <v>170415.625</v>
      </c>
      <c r="M243" s="300">
        <f t="shared" si="240"/>
        <v>166710.9375</v>
      </c>
      <c r="N243" s="300">
        <f t="shared" si="240"/>
        <v>163006.25</v>
      </c>
      <c r="O243" s="300">
        <f t="shared" si="240"/>
        <v>159301.5625</v>
      </c>
      <c r="P243" s="300">
        <f t="shared" si="240"/>
        <v>155596.875</v>
      </c>
      <c r="Q243" s="300">
        <f t="shared" si="240"/>
        <v>151892.1875</v>
      </c>
      <c r="R243" s="300">
        <f t="shared" si="240"/>
        <v>148187.5</v>
      </c>
      <c r="S243" s="300">
        <f t="shared" si="240"/>
        <v>144482.8125</v>
      </c>
      <c r="T243" s="300">
        <f t="shared" si="240"/>
        <v>140778.125</v>
      </c>
      <c r="U243" s="300">
        <f t="shared" si="240"/>
        <v>137073.4375</v>
      </c>
      <c r="V243" s="300">
        <f t="shared" si="240"/>
        <v>133368.75</v>
      </c>
      <c r="W243" s="300">
        <f t="shared" si="240"/>
        <v>129664.0625</v>
      </c>
      <c r="X243" s="300">
        <f t="shared" si="240"/>
        <v>125959.375</v>
      </c>
      <c r="Y243" s="300">
        <f t="shared" si="240"/>
        <v>122254.6875</v>
      </c>
      <c r="Z243" s="300">
        <f t="shared" si="240"/>
        <v>118550</v>
      </c>
      <c r="AA243" s="300">
        <f t="shared" si="240"/>
        <v>114845.3125</v>
      </c>
      <c r="AB243" s="300">
        <f t="shared" si="240"/>
        <v>111140.625</v>
      </c>
      <c r="AC243" s="300">
        <f t="shared" si="240"/>
        <v>107435.9375</v>
      </c>
      <c r="AD243" s="300">
        <f t="shared" si="240"/>
        <v>103731.25</v>
      </c>
      <c r="AE243" s="300">
        <f t="shared" si="240"/>
        <v>100026.5625</v>
      </c>
      <c r="AF243" s="300">
        <f t="shared" si="240"/>
        <v>96321.875</v>
      </c>
      <c r="AG243" s="300">
        <f t="shared" si="240"/>
        <v>92617.1875</v>
      </c>
      <c r="AH243" s="300">
        <f t="shared" si="240"/>
        <v>88912.5</v>
      </c>
      <c r="AI243" s="300">
        <f t="shared" si="240"/>
        <v>85207.8125</v>
      </c>
      <c r="AJ243" s="300">
        <f t="shared" si="240"/>
        <v>81503.125</v>
      </c>
      <c r="AK243" s="300">
        <f t="shared" si="240"/>
        <v>77798.4375</v>
      </c>
      <c r="AL243" s="300">
        <f t="shared" si="240"/>
        <v>74093.75</v>
      </c>
      <c r="AM243" s="300">
        <f t="shared" si="240"/>
        <v>70389.0625</v>
      </c>
      <c r="AN243" s="300">
        <f t="shared" si="240"/>
        <v>66684.375</v>
      </c>
      <c r="AO243" s="300">
        <f t="shared" si="240"/>
        <v>62979.6875</v>
      </c>
      <c r="AP243" s="300">
        <f t="shared" si="240"/>
        <v>59275</v>
      </c>
      <c r="AQ243" s="300">
        <f t="shared" si="240"/>
        <v>55570.3125</v>
      </c>
      <c r="AR243" s="300">
        <f t="shared" si="240"/>
        <v>51865.625</v>
      </c>
      <c r="AS243" s="300">
        <f t="shared" si="240"/>
        <v>48160.9375</v>
      </c>
      <c r="AT243" s="300">
        <f t="shared" si="240"/>
        <v>44456.25</v>
      </c>
      <c r="AU243" s="300">
        <f t="shared" si="240"/>
        <v>40751.5625</v>
      </c>
      <c r="AV243" s="300">
        <f t="shared" si="240"/>
        <v>37046.875</v>
      </c>
      <c r="AW243" s="300">
        <f t="shared" si="240"/>
        <v>33342.1875</v>
      </c>
      <c r="AX243" s="300">
        <f t="shared" si="240"/>
        <v>29637.5</v>
      </c>
      <c r="AY243" s="300">
        <f t="shared" si="240"/>
        <v>25932.8125</v>
      </c>
      <c r="AZ243" s="300">
        <f t="shared" si="240"/>
        <v>22228.125</v>
      </c>
      <c r="BA243" s="300">
        <f t="shared" si="240"/>
        <v>18523.4375</v>
      </c>
      <c r="BB243" s="300">
        <f t="shared" si="240"/>
        <v>14818.75</v>
      </c>
      <c r="BC243" s="300">
        <f t="shared" si="240"/>
        <v>11114.0625</v>
      </c>
      <c r="BD243" s="300">
        <f t="shared" si="240"/>
        <v>7409.375</v>
      </c>
      <c r="BE243" s="300">
        <f t="shared" si="240"/>
        <v>3704.6875</v>
      </c>
      <c r="BF243" s="300">
        <f t="shared" si="240"/>
        <v>0</v>
      </c>
      <c r="BG243" s="300">
        <f t="shared" si="240"/>
        <v>0</v>
      </c>
      <c r="BH243" s="300">
        <f t="shared" si="240"/>
        <v>0</v>
      </c>
      <c r="BI243" s="300">
        <f t="shared" si="240"/>
        <v>0</v>
      </c>
      <c r="BJ243" s="300">
        <f t="shared" si="240"/>
        <v>0</v>
      </c>
      <c r="BK243" s="300">
        <f t="shared" si="240"/>
        <v>0</v>
      </c>
      <c r="BL243" s="300">
        <f t="shared" si="240"/>
        <v>0</v>
      </c>
      <c r="BM243" s="300">
        <f t="shared" si="240"/>
        <v>0</v>
      </c>
      <c r="BN243" s="300">
        <f t="shared" si="240"/>
        <v>0</v>
      </c>
      <c r="BO243" s="300">
        <f t="shared" si="240"/>
        <v>0</v>
      </c>
      <c r="BP243" s="300">
        <f t="shared" si="240"/>
        <v>0</v>
      </c>
      <c r="BQ243" s="300">
        <f t="shared" si="240"/>
        <v>0</v>
      </c>
      <c r="BR243" s="300">
        <f t="shared" si="240"/>
        <v>0</v>
      </c>
      <c r="BS243" s="75"/>
    </row>
    <row r="244" ht="15.75" customHeight="1">
      <c r="A244" s="80"/>
      <c r="B244" s="122"/>
      <c r="C244" s="92"/>
      <c r="D244" s="85"/>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119"/>
    </row>
    <row r="245" ht="15.75" customHeight="1">
      <c r="A245" s="80"/>
      <c r="B245" s="136" t="s">
        <v>146</v>
      </c>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282"/>
    </row>
    <row r="246" ht="7.5" customHeight="1">
      <c r="A246" s="106"/>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c r="BJ246" s="75"/>
      <c r="BK246" s="75"/>
      <c r="BL246" s="75"/>
      <c r="BM246" s="75"/>
      <c r="BN246" s="75"/>
      <c r="BO246" s="75"/>
      <c r="BP246" s="75"/>
      <c r="BQ246" s="75"/>
      <c r="BR246" s="75"/>
      <c r="BS246" s="75"/>
    </row>
    <row r="247" ht="34.5" customHeight="1">
      <c r="A247" s="106"/>
      <c r="B247" s="328" t="s">
        <v>367</v>
      </c>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c r="BO247" s="75"/>
      <c r="BP247" s="75"/>
      <c r="BQ247" s="75"/>
      <c r="BR247" s="75"/>
      <c r="BS247" s="75"/>
    </row>
    <row r="248" ht="15.75" customHeight="1">
      <c r="A248" s="106"/>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c r="BJ248" s="75"/>
      <c r="BK248" s="75"/>
      <c r="BL248" s="75"/>
      <c r="BM248" s="75"/>
      <c r="BN248" s="75"/>
      <c r="BO248" s="75"/>
      <c r="BP248" s="75"/>
      <c r="BQ248" s="75"/>
      <c r="BR248" s="75"/>
      <c r="BS248" s="75"/>
    </row>
    <row r="249" ht="15.75" customHeight="1">
      <c r="A249" s="106"/>
      <c r="B249" s="75" t="s">
        <v>368</v>
      </c>
      <c r="C249" s="127">
        <f>IFERROR(EOMONTH(K13,Breakeven-1),"")</f>
        <v>45961</v>
      </c>
      <c r="D249" s="122"/>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c r="BJ249" s="75"/>
      <c r="BK249" s="75"/>
      <c r="BL249" s="75"/>
      <c r="BM249" s="75"/>
      <c r="BN249" s="75"/>
      <c r="BO249" s="75"/>
      <c r="BP249" s="75"/>
      <c r="BQ249" s="75"/>
      <c r="BR249" s="75"/>
      <c r="BS249" s="75"/>
    </row>
    <row r="250" ht="15.75" customHeight="1">
      <c r="A250" s="106"/>
      <c r="B250" s="75" t="s">
        <v>369</v>
      </c>
      <c r="C250" s="128">
        <f>IFERROR(MATCH("Breakeven",$K$255:$BR$255,0),"")</f>
        <v>15</v>
      </c>
      <c r="D250" s="122"/>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c r="BO250" s="75"/>
      <c r="BP250" s="75"/>
      <c r="BQ250" s="75"/>
      <c r="BR250" s="75"/>
      <c r="BS250" s="75"/>
    </row>
    <row r="251" ht="7.5" customHeight="1">
      <c r="A251" s="80"/>
      <c r="B251" s="75"/>
      <c r="C251" s="317"/>
      <c r="D251" s="82"/>
      <c r="E251" s="82"/>
      <c r="F251" s="82"/>
      <c r="G251" s="82"/>
      <c r="H251" s="82"/>
      <c r="I251" s="82"/>
      <c r="J251" s="82"/>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c r="BD251" s="286"/>
      <c r="BE251" s="286"/>
      <c r="BF251" s="286"/>
      <c r="BG251" s="286"/>
      <c r="BH251" s="286"/>
      <c r="BI251" s="286"/>
      <c r="BJ251" s="286"/>
      <c r="BK251" s="286"/>
      <c r="BL251" s="286"/>
      <c r="BM251" s="286"/>
      <c r="BN251" s="286"/>
      <c r="BO251" s="286"/>
      <c r="BP251" s="286"/>
      <c r="BQ251" s="286"/>
      <c r="BR251" s="286"/>
      <c r="BS251" s="82"/>
    </row>
    <row r="252" ht="15.75" customHeight="1">
      <c r="A252" s="106"/>
      <c r="B252" s="75" t="s">
        <v>149</v>
      </c>
      <c r="C252" s="329">
        <f>SUM(K266:BR266)</f>
        <v>-94208.19335</v>
      </c>
      <c r="D252" s="122"/>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row>
    <row r="253" ht="15.75" customHeight="1">
      <c r="A253" s="106"/>
      <c r="B253" s="75" t="s">
        <v>150</v>
      </c>
      <c r="C253" s="329">
        <f>SUM($K$260:$BR$260)</f>
        <v>-177825</v>
      </c>
      <c r="D253" s="122"/>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c r="BK253" s="75"/>
      <c r="BL253" s="75"/>
      <c r="BM253" s="75"/>
      <c r="BN253" s="75"/>
      <c r="BO253" s="75"/>
      <c r="BP253" s="75"/>
      <c r="BQ253" s="75"/>
      <c r="BR253" s="75"/>
      <c r="BS253" s="75"/>
    </row>
    <row r="254" ht="15.75" customHeight="1">
      <c r="A254" s="106"/>
      <c r="B254" s="98" t="s">
        <v>151</v>
      </c>
      <c r="C254" s="330">
        <f>SUM(C252:C253)</f>
        <v>-272033.1933</v>
      </c>
      <c r="D254" s="122"/>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c r="BK254" s="75"/>
      <c r="BL254" s="75"/>
      <c r="BM254" s="75"/>
      <c r="BN254" s="75"/>
      <c r="BO254" s="75"/>
      <c r="BP254" s="75"/>
      <c r="BQ254" s="75"/>
      <c r="BR254" s="75"/>
      <c r="BS254" s="75"/>
    </row>
    <row r="255" ht="15.75" customHeight="1">
      <c r="A255" s="106"/>
      <c r="B255" s="122"/>
      <c r="C255" s="122"/>
      <c r="D255" s="122"/>
      <c r="E255" s="75"/>
      <c r="F255" s="75"/>
      <c r="G255" s="75"/>
      <c r="H255" s="75"/>
      <c r="I255" s="75"/>
      <c r="J255" s="75"/>
      <c r="K255" s="331" t="str">
        <f t="shared" ref="K255:BR255" si="241">IF(K$258&lt;0,"",IF(COUNTIF($J255:J255,"Breakeven")=0,"Breakeven",""))</f>
        <v/>
      </c>
      <c r="L255" s="331" t="str">
        <f t="shared" si="241"/>
        <v/>
      </c>
      <c r="M255" s="331" t="str">
        <f t="shared" si="241"/>
        <v/>
      </c>
      <c r="N255" s="331" t="str">
        <f t="shared" si="241"/>
        <v/>
      </c>
      <c r="O255" s="331" t="str">
        <f t="shared" si="241"/>
        <v/>
      </c>
      <c r="P255" s="331" t="str">
        <f t="shared" si="241"/>
        <v/>
      </c>
      <c r="Q255" s="331" t="str">
        <f t="shared" si="241"/>
        <v/>
      </c>
      <c r="R255" s="331" t="str">
        <f t="shared" si="241"/>
        <v/>
      </c>
      <c r="S255" s="331" t="str">
        <f t="shared" si="241"/>
        <v/>
      </c>
      <c r="T255" s="331" t="str">
        <f t="shared" si="241"/>
        <v/>
      </c>
      <c r="U255" s="331" t="str">
        <f t="shared" si="241"/>
        <v/>
      </c>
      <c r="V255" s="331" t="str">
        <f t="shared" si="241"/>
        <v/>
      </c>
      <c r="W255" s="331" t="str">
        <f t="shared" si="241"/>
        <v/>
      </c>
      <c r="X255" s="331" t="str">
        <f t="shared" si="241"/>
        <v/>
      </c>
      <c r="Y255" s="331" t="str">
        <f t="shared" si="241"/>
        <v>Breakeven</v>
      </c>
      <c r="Z255" s="331" t="str">
        <f t="shared" si="241"/>
        <v/>
      </c>
      <c r="AA255" s="331" t="str">
        <f t="shared" si="241"/>
        <v/>
      </c>
      <c r="AB255" s="331" t="str">
        <f t="shared" si="241"/>
        <v/>
      </c>
      <c r="AC255" s="331" t="str">
        <f t="shared" si="241"/>
        <v/>
      </c>
      <c r="AD255" s="331" t="str">
        <f t="shared" si="241"/>
        <v/>
      </c>
      <c r="AE255" s="331" t="str">
        <f t="shared" si="241"/>
        <v/>
      </c>
      <c r="AF255" s="331" t="str">
        <f t="shared" si="241"/>
        <v/>
      </c>
      <c r="AG255" s="331" t="str">
        <f t="shared" si="241"/>
        <v/>
      </c>
      <c r="AH255" s="331" t="str">
        <f t="shared" si="241"/>
        <v/>
      </c>
      <c r="AI255" s="331" t="str">
        <f t="shared" si="241"/>
        <v/>
      </c>
      <c r="AJ255" s="331" t="str">
        <f t="shared" si="241"/>
        <v/>
      </c>
      <c r="AK255" s="331" t="str">
        <f t="shared" si="241"/>
        <v/>
      </c>
      <c r="AL255" s="331" t="str">
        <f t="shared" si="241"/>
        <v/>
      </c>
      <c r="AM255" s="331" t="str">
        <f t="shared" si="241"/>
        <v/>
      </c>
      <c r="AN255" s="331" t="str">
        <f t="shared" si="241"/>
        <v/>
      </c>
      <c r="AO255" s="331" t="str">
        <f t="shared" si="241"/>
        <v/>
      </c>
      <c r="AP255" s="331" t="str">
        <f t="shared" si="241"/>
        <v/>
      </c>
      <c r="AQ255" s="331" t="str">
        <f t="shared" si="241"/>
        <v/>
      </c>
      <c r="AR255" s="331" t="str">
        <f t="shared" si="241"/>
        <v/>
      </c>
      <c r="AS255" s="331" t="str">
        <f t="shared" si="241"/>
        <v/>
      </c>
      <c r="AT255" s="331" t="str">
        <f t="shared" si="241"/>
        <v/>
      </c>
      <c r="AU255" s="331" t="str">
        <f t="shared" si="241"/>
        <v/>
      </c>
      <c r="AV255" s="331" t="str">
        <f t="shared" si="241"/>
        <v/>
      </c>
      <c r="AW255" s="331" t="str">
        <f t="shared" si="241"/>
        <v/>
      </c>
      <c r="AX255" s="331" t="str">
        <f t="shared" si="241"/>
        <v/>
      </c>
      <c r="AY255" s="331" t="str">
        <f t="shared" si="241"/>
        <v/>
      </c>
      <c r="AZ255" s="331" t="str">
        <f t="shared" si="241"/>
        <v/>
      </c>
      <c r="BA255" s="331" t="str">
        <f t="shared" si="241"/>
        <v/>
      </c>
      <c r="BB255" s="331" t="str">
        <f t="shared" si="241"/>
        <v/>
      </c>
      <c r="BC255" s="331" t="str">
        <f t="shared" si="241"/>
        <v/>
      </c>
      <c r="BD255" s="331" t="str">
        <f t="shared" si="241"/>
        <v/>
      </c>
      <c r="BE255" s="331" t="str">
        <f t="shared" si="241"/>
        <v/>
      </c>
      <c r="BF255" s="331" t="str">
        <f t="shared" si="241"/>
        <v/>
      </c>
      <c r="BG255" s="331" t="str">
        <f t="shared" si="241"/>
        <v/>
      </c>
      <c r="BH255" s="331" t="str">
        <f t="shared" si="241"/>
        <v/>
      </c>
      <c r="BI255" s="331" t="str">
        <f t="shared" si="241"/>
        <v/>
      </c>
      <c r="BJ255" s="331" t="str">
        <f t="shared" si="241"/>
        <v/>
      </c>
      <c r="BK255" s="331" t="str">
        <f t="shared" si="241"/>
        <v/>
      </c>
      <c r="BL255" s="331" t="str">
        <f t="shared" si="241"/>
        <v/>
      </c>
      <c r="BM255" s="331" t="str">
        <f t="shared" si="241"/>
        <v/>
      </c>
      <c r="BN255" s="331" t="str">
        <f t="shared" si="241"/>
        <v/>
      </c>
      <c r="BO255" s="331" t="str">
        <f t="shared" si="241"/>
        <v/>
      </c>
      <c r="BP255" s="331" t="str">
        <f t="shared" si="241"/>
        <v/>
      </c>
      <c r="BQ255" s="331" t="str">
        <f t="shared" si="241"/>
        <v/>
      </c>
      <c r="BR255" s="331" t="str">
        <f t="shared" si="241"/>
        <v/>
      </c>
      <c r="BS255" s="75"/>
    </row>
    <row r="256" ht="15.75" customHeight="1">
      <c r="A256" s="80"/>
      <c r="B256" s="75" t="s">
        <v>76</v>
      </c>
      <c r="C256" s="75"/>
      <c r="D256" s="75"/>
      <c r="E256" s="90"/>
      <c r="F256" s="90"/>
      <c r="G256" s="90"/>
      <c r="H256" s="90"/>
      <c r="I256" s="90"/>
      <c r="J256" s="75"/>
      <c r="K256" s="90">
        <f t="shared" ref="K256:BR256" si="242">K$26</f>
        <v>13174.85</v>
      </c>
      <c r="L256" s="90">
        <f t="shared" si="242"/>
        <v>16590.55185</v>
      </c>
      <c r="M256" s="90">
        <f t="shared" si="242"/>
        <v>18298.40278</v>
      </c>
      <c r="N256" s="90">
        <f t="shared" si="242"/>
        <v>20006.2537</v>
      </c>
      <c r="O256" s="90">
        <f t="shared" si="242"/>
        <v>21714.10463</v>
      </c>
      <c r="P256" s="90">
        <f t="shared" si="242"/>
        <v>23421.95556</v>
      </c>
      <c r="Q256" s="90">
        <f t="shared" si="242"/>
        <v>25129.80648</v>
      </c>
      <c r="R256" s="90">
        <f t="shared" si="242"/>
        <v>26837.65741</v>
      </c>
      <c r="S256" s="90">
        <f t="shared" si="242"/>
        <v>28545.50833</v>
      </c>
      <c r="T256" s="90">
        <f t="shared" si="242"/>
        <v>30253.35926</v>
      </c>
      <c r="U256" s="90">
        <f t="shared" si="242"/>
        <v>31961.21019</v>
      </c>
      <c r="V256" s="90">
        <f t="shared" si="242"/>
        <v>33669.06111</v>
      </c>
      <c r="W256" s="90">
        <f t="shared" si="242"/>
        <v>35376.91204</v>
      </c>
      <c r="X256" s="90">
        <f t="shared" si="242"/>
        <v>37084.76296</v>
      </c>
      <c r="Y256" s="90">
        <f t="shared" si="242"/>
        <v>38792.61389</v>
      </c>
      <c r="Z256" s="90">
        <f t="shared" si="242"/>
        <v>40500.46481</v>
      </c>
      <c r="AA256" s="90">
        <f t="shared" si="242"/>
        <v>42208.31574</v>
      </c>
      <c r="AB256" s="90">
        <f t="shared" si="242"/>
        <v>43916.16667</v>
      </c>
      <c r="AC256" s="90">
        <f t="shared" si="242"/>
        <v>44391.92514</v>
      </c>
      <c r="AD256" s="90">
        <f t="shared" si="242"/>
        <v>44872.83766</v>
      </c>
      <c r="AE256" s="90">
        <f t="shared" si="242"/>
        <v>45358.96007</v>
      </c>
      <c r="AF256" s="90">
        <f t="shared" si="242"/>
        <v>45850.3488</v>
      </c>
      <c r="AG256" s="90">
        <f t="shared" si="242"/>
        <v>46347.06092</v>
      </c>
      <c r="AH256" s="90">
        <f t="shared" si="242"/>
        <v>46849.15408</v>
      </c>
      <c r="AI256" s="90">
        <f t="shared" si="242"/>
        <v>47239.56369</v>
      </c>
      <c r="AJ256" s="90">
        <f t="shared" si="242"/>
        <v>47633.22672</v>
      </c>
      <c r="AK256" s="90">
        <f t="shared" si="242"/>
        <v>48030.17028</v>
      </c>
      <c r="AL256" s="90">
        <f t="shared" si="242"/>
        <v>48430.4217</v>
      </c>
      <c r="AM256" s="90">
        <f t="shared" si="242"/>
        <v>48834.00855</v>
      </c>
      <c r="AN256" s="90">
        <f t="shared" si="242"/>
        <v>49240.95862</v>
      </c>
      <c r="AO256" s="90">
        <f t="shared" si="242"/>
        <v>49651.29994</v>
      </c>
      <c r="AP256" s="90">
        <f t="shared" si="242"/>
        <v>50065.06077</v>
      </c>
      <c r="AQ256" s="90">
        <f t="shared" si="242"/>
        <v>50482.26961</v>
      </c>
      <c r="AR256" s="90">
        <f t="shared" si="242"/>
        <v>50902.95519</v>
      </c>
      <c r="AS256" s="90">
        <f t="shared" si="242"/>
        <v>51327.14648</v>
      </c>
      <c r="AT256" s="90">
        <f t="shared" si="242"/>
        <v>51754.87271</v>
      </c>
      <c r="AU256" s="90">
        <f t="shared" si="242"/>
        <v>52099.90519</v>
      </c>
      <c r="AV256" s="90">
        <f t="shared" si="242"/>
        <v>52447.23789</v>
      </c>
      <c r="AW256" s="90">
        <f t="shared" si="242"/>
        <v>52796.88614</v>
      </c>
      <c r="AX256" s="90">
        <f t="shared" si="242"/>
        <v>53148.86539</v>
      </c>
      <c r="AY256" s="90">
        <f t="shared" si="242"/>
        <v>53503.19115</v>
      </c>
      <c r="AZ256" s="90">
        <f t="shared" si="242"/>
        <v>53859.8791</v>
      </c>
      <c r="BA256" s="90">
        <f t="shared" si="242"/>
        <v>54218.94496</v>
      </c>
      <c r="BB256" s="90">
        <f t="shared" si="242"/>
        <v>54580.40459</v>
      </c>
      <c r="BC256" s="90">
        <f t="shared" si="242"/>
        <v>54944.27395</v>
      </c>
      <c r="BD256" s="90">
        <f t="shared" si="242"/>
        <v>55310.56911</v>
      </c>
      <c r="BE256" s="90">
        <f t="shared" si="242"/>
        <v>55679.30624</v>
      </c>
      <c r="BF256" s="90">
        <f t="shared" si="242"/>
        <v>56050.50161</v>
      </c>
      <c r="BG256" s="90">
        <f t="shared" si="242"/>
        <v>56424.17163</v>
      </c>
      <c r="BH256" s="90">
        <f t="shared" si="242"/>
        <v>56800.33277</v>
      </c>
      <c r="BI256" s="90">
        <f t="shared" si="242"/>
        <v>57179.00166</v>
      </c>
      <c r="BJ256" s="90">
        <f t="shared" si="242"/>
        <v>57560.195</v>
      </c>
      <c r="BK256" s="90">
        <f t="shared" si="242"/>
        <v>57943.92963</v>
      </c>
      <c r="BL256" s="90">
        <f t="shared" si="242"/>
        <v>58330.2225</v>
      </c>
      <c r="BM256" s="90">
        <f t="shared" si="242"/>
        <v>58719.09065</v>
      </c>
      <c r="BN256" s="90">
        <f t="shared" si="242"/>
        <v>59110.55125</v>
      </c>
      <c r="BO256" s="90">
        <f t="shared" si="242"/>
        <v>59504.62159</v>
      </c>
      <c r="BP256" s="90">
        <f t="shared" si="242"/>
        <v>59901.31907</v>
      </c>
      <c r="BQ256" s="90">
        <f t="shared" si="242"/>
        <v>60300.6612</v>
      </c>
      <c r="BR256" s="90">
        <f t="shared" si="242"/>
        <v>60702.66561</v>
      </c>
      <c r="BS256" s="75"/>
    </row>
    <row r="257" ht="15.75" customHeight="1">
      <c r="A257" s="80"/>
      <c r="B257" s="75" t="s">
        <v>370</v>
      </c>
      <c r="C257" s="75"/>
      <c r="D257" s="75"/>
      <c r="E257" s="90"/>
      <c r="F257" s="90"/>
      <c r="G257" s="90"/>
      <c r="H257" s="90"/>
      <c r="I257" s="90"/>
      <c r="J257" s="75"/>
      <c r="K257" s="90">
        <f t="shared" ref="K257:BR257" si="243">-(K258-K256)</f>
        <v>34697.0586</v>
      </c>
      <c r="L257" s="90">
        <f t="shared" si="243"/>
        <v>27877.64057</v>
      </c>
      <c r="M257" s="90">
        <f t="shared" si="243"/>
        <v>26229.79374</v>
      </c>
      <c r="N257" s="90">
        <f t="shared" si="243"/>
        <v>28505.89208</v>
      </c>
      <c r="O257" s="90">
        <f t="shared" si="243"/>
        <v>28310.72226</v>
      </c>
      <c r="P257" s="90">
        <f t="shared" si="243"/>
        <v>30051.64151</v>
      </c>
      <c r="Q257" s="90">
        <f t="shared" si="243"/>
        <v>33752.82283</v>
      </c>
      <c r="R257" s="90">
        <f t="shared" si="243"/>
        <v>29637.12887</v>
      </c>
      <c r="S257" s="90">
        <f t="shared" si="243"/>
        <v>34259.13304</v>
      </c>
      <c r="T257" s="90">
        <f t="shared" si="243"/>
        <v>33513.04357</v>
      </c>
      <c r="U257" s="90">
        <f t="shared" si="243"/>
        <v>36560.42943</v>
      </c>
      <c r="V257" s="90">
        <f t="shared" si="243"/>
        <v>35593.97209</v>
      </c>
      <c r="W257" s="90">
        <f t="shared" si="243"/>
        <v>37504.27533</v>
      </c>
      <c r="X257" s="90">
        <f t="shared" si="243"/>
        <v>39779.03572</v>
      </c>
      <c r="Y257" s="90">
        <f t="shared" si="243"/>
        <v>38464.94809</v>
      </c>
      <c r="Z257" s="90">
        <f t="shared" si="243"/>
        <v>42046.17509</v>
      </c>
      <c r="AA257" s="90">
        <f t="shared" si="243"/>
        <v>40511.71959</v>
      </c>
      <c r="AB257" s="90">
        <f t="shared" si="243"/>
        <v>42896.66392</v>
      </c>
      <c r="AC257" s="90">
        <f t="shared" si="243"/>
        <v>46582.46947</v>
      </c>
      <c r="AD257" s="90">
        <f t="shared" si="243"/>
        <v>37675.05685</v>
      </c>
      <c r="AE257" s="90">
        <f t="shared" si="243"/>
        <v>44042.77367</v>
      </c>
      <c r="AF257" s="90">
        <f t="shared" si="243"/>
        <v>41421.49006</v>
      </c>
      <c r="AG257" s="90">
        <f t="shared" si="243"/>
        <v>44688.31257</v>
      </c>
      <c r="AH257" s="90">
        <f t="shared" si="243"/>
        <v>42010.24374</v>
      </c>
      <c r="AI257" s="90">
        <f t="shared" si="243"/>
        <v>44047.41074</v>
      </c>
      <c r="AJ257" s="90">
        <f t="shared" si="243"/>
        <v>45816.67776</v>
      </c>
      <c r="AK257" s="90">
        <f t="shared" si="243"/>
        <v>42978.33815</v>
      </c>
      <c r="AL257" s="90">
        <f t="shared" si="243"/>
        <v>46314.01497</v>
      </c>
      <c r="AM257" s="90">
        <f t="shared" si="243"/>
        <v>43428.41606</v>
      </c>
      <c r="AN257" s="90">
        <f t="shared" si="243"/>
        <v>45231.74458</v>
      </c>
      <c r="AO257" s="90">
        <f t="shared" si="243"/>
        <v>50623.10772</v>
      </c>
      <c r="AP257" s="90">
        <f t="shared" si="243"/>
        <v>40572.08986</v>
      </c>
      <c r="AQ257" s="90">
        <f t="shared" si="243"/>
        <v>47596.22678</v>
      </c>
      <c r="AR257" s="90">
        <f t="shared" si="243"/>
        <v>44588.99023</v>
      </c>
      <c r="AS257" s="90">
        <f t="shared" si="243"/>
        <v>48125.05093</v>
      </c>
      <c r="AT257" s="90">
        <f t="shared" si="243"/>
        <v>45067.72839</v>
      </c>
      <c r="AU257" s="90">
        <f t="shared" si="243"/>
        <v>47791.96713</v>
      </c>
      <c r="AV257" s="90">
        <f t="shared" si="243"/>
        <v>49686.86625</v>
      </c>
      <c r="AW257" s="90">
        <f t="shared" si="243"/>
        <v>46507.67689</v>
      </c>
      <c r="AX257" s="90">
        <f t="shared" si="243"/>
        <v>50119.96653</v>
      </c>
      <c r="AY257" s="90">
        <f t="shared" si="243"/>
        <v>46898.44129</v>
      </c>
      <c r="AZ257" s="90">
        <f t="shared" si="243"/>
        <v>48821.83449</v>
      </c>
      <c r="BA257" s="90">
        <f t="shared" si="243"/>
        <v>52650.85493</v>
      </c>
      <c r="BB257" s="90">
        <f t="shared" si="243"/>
        <v>45625.52398</v>
      </c>
      <c r="BC257" s="90">
        <f t="shared" si="243"/>
        <v>51229.94968</v>
      </c>
      <c r="BD257" s="90">
        <f t="shared" si="243"/>
        <v>47900.09029</v>
      </c>
      <c r="BE257" s="90">
        <f t="shared" si="243"/>
        <v>51685.05522</v>
      </c>
      <c r="BF257" s="90">
        <f t="shared" si="243"/>
        <v>48310.84432</v>
      </c>
      <c r="BG257" s="90">
        <f t="shared" si="243"/>
        <v>51261.27397</v>
      </c>
      <c r="BH257" s="90">
        <f t="shared" si="243"/>
        <v>53314.65617</v>
      </c>
      <c r="BI257" s="90">
        <f t="shared" si="243"/>
        <v>49872.80304</v>
      </c>
      <c r="BJ257" s="90">
        <f t="shared" si="243"/>
        <v>53786.11833</v>
      </c>
      <c r="BK257" s="90">
        <f t="shared" si="243"/>
        <v>50298.41545</v>
      </c>
      <c r="BL257" s="90">
        <f t="shared" si="243"/>
        <v>52382.65673</v>
      </c>
      <c r="BM257" s="90">
        <f t="shared" si="243"/>
        <v>58700.11589</v>
      </c>
      <c r="BN257" s="90">
        <f t="shared" si="243"/>
        <v>46754.04426</v>
      </c>
      <c r="BO257" s="90">
        <f t="shared" si="243"/>
        <v>54994.26644</v>
      </c>
      <c r="BP257" s="90">
        <f t="shared" si="243"/>
        <v>51389.23775</v>
      </c>
      <c r="BQ257" s="90">
        <f t="shared" si="243"/>
        <v>55489.56029</v>
      </c>
      <c r="BR257" s="90">
        <f t="shared" si="243"/>
        <v>51836.49893</v>
      </c>
      <c r="BS257" s="75"/>
    </row>
    <row r="258" ht="15.75" customHeight="1">
      <c r="A258" s="80"/>
      <c r="B258" s="75" t="s">
        <v>371</v>
      </c>
      <c r="C258" s="75"/>
      <c r="D258" s="75"/>
      <c r="E258" s="90"/>
      <c r="F258" s="90"/>
      <c r="G258" s="90"/>
      <c r="H258" s="90"/>
      <c r="I258" s="90"/>
      <c r="J258" s="75"/>
      <c r="K258" s="90">
        <f t="shared" ref="K258:BR258" si="244">K$131</f>
        <v>-21522.2086</v>
      </c>
      <c r="L258" s="90">
        <f t="shared" si="244"/>
        <v>-11287.08872</v>
      </c>
      <c r="M258" s="90">
        <f t="shared" si="244"/>
        <v>-7931.39096</v>
      </c>
      <c r="N258" s="90">
        <f t="shared" si="244"/>
        <v>-8499.638376</v>
      </c>
      <c r="O258" s="90">
        <f t="shared" si="244"/>
        <v>-6596.617632</v>
      </c>
      <c r="P258" s="90">
        <f t="shared" si="244"/>
        <v>-6629.685955</v>
      </c>
      <c r="Q258" s="90">
        <f t="shared" si="244"/>
        <v>-8623.016352</v>
      </c>
      <c r="R258" s="90">
        <f t="shared" si="244"/>
        <v>-2799.471461</v>
      </c>
      <c r="S258" s="90">
        <f t="shared" si="244"/>
        <v>-5713.624707</v>
      </c>
      <c r="T258" s="90">
        <f t="shared" si="244"/>
        <v>-3259.684309</v>
      </c>
      <c r="U258" s="90">
        <f t="shared" si="244"/>
        <v>-4599.21924</v>
      </c>
      <c r="V258" s="90">
        <f t="shared" si="244"/>
        <v>-1924.910981</v>
      </c>
      <c r="W258" s="90">
        <f t="shared" si="244"/>
        <v>-2127.36329</v>
      </c>
      <c r="X258" s="90">
        <f t="shared" si="244"/>
        <v>-2694.272758</v>
      </c>
      <c r="Y258" s="90">
        <f t="shared" si="244"/>
        <v>327.6658024</v>
      </c>
      <c r="Z258" s="90">
        <f t="shared" si="244"/>
        <v>-1545.710272</v>
      </c>
      <c r="AA258" s="90">
        <f t="shared" si="244"/>
        <v>1696.59615</v>
      </c>
      <c r="AB258" s="90">
        <f t="shared" si="244"/>
        <v>1019.502751</v>
      </c>
      <c r="AC258" s="90">
        <f t="shared" si="244"/>
        <v>-2190.544328</v>
      </c>
      <c r="AD258" s="90">
        <f t="shared" si="244"/>
        <v>7197.780806</v>
      </c>
      <c r="AE258" s="90">
        <f t="shared" si="244"/>
        <v>1316.186399</v>
      </c>
      <c r="AF258" s="90">
        <f t="shared" si="244"/>
        <v>4428.858741</v>
      </c>
      <c r="AG258" s="90">
        <f t="shared" si="244"/>
        <v>1658.748347</v>
      </c>
      <c r="AH258" s="90">
        <f t="shared" si="244"/>
        <v>4838.91034</v>
      </c>
      <c r="AI258" s="90">
        <f t="shared" si="244"/>
        <v>3192.15295</v>
      </c>
      <c r="AJ258" s="90">
        <f t="shared" si="244"/>
        <v>1816.548967</v>
      </c>
      <c r="AK258" s="90">
        <f t="shared" si="244"/>
        <v>5051.832127</v>
      </c>
      <c r="AL258" s="90">
        <f t="shared" si="244"/>
        <v>2116.406724</v>
      </c>
      <c r="AM258" s="90">
        <f t="shared" si="244"/>
        <v>5405.592484</v>
      </c>
      <c r="AN258" s="90">
        <f t="shared" si="244"/>
        <v>4009.214037</v>
      </c>
      <c r="AO258" s="90">
        <f t="shared" si="244"/>
        <v>-971.8077835</v>
      </c>
      <c r="AP258" s="90">
        <f t="shared" si="244"/>
        <v>9492.970909</v>
      </c>
      <c r="AQ258" s="90">
        <f t="shared" si="244"/>
        <v>2886.042835</v>
      </c>
      <c r="AR258" s="90">
        <f t="shared" si="244"/>
        <v>6313.964967</v>
      </c>
      <c r="AS258" s="90">
        <f t="shared" si="244"/>
        <v>3202.095554</v>
      </c>
      <c r="AT258" s="90">
        <f t="shared" si="244"/>
        <v>6687.144312</v>
      </c>
      <c r="AU258" s="90">
        <f t="shared" si="244"/>
        <v>4307.938061</v>
      </c>
      <c r="AV258" s="90">
        <f t="shared" si="244"/>
        <v>2760.371641</v>
      </c>
      <c r="AW258" s="90">
        <f t="shared" si="244"/>
        <v>6289.209259</v>
      </c>
      <c r="AX258" s="90">
        <f t="shared" si="244"/>
        <v>3028.898851</v>
      </c>
      <c r="AY258" s="90">
        <f t="shared" si="244"/>
        <v>6604.749869</v>
      </c>
      <c r="AZ258" s="90">
        <f t="shared" si="244"/>
        <v>5038.044602</v>
      </c>
      <c r="BA258" s="90">
        <f t="shared" si="244"/>
        <v>1568.090031</v>
      </c>
      <c r="BB258" s="90">
        <f t="shared" si="244"/>
        <v>8954.880611</v>
      </c>
      <c r="BC258" s="90">
        <f t="shared" si="244"/>
        <v>3714.324274</v>
      </c>
      <c r="BD258" s="90">
        <f t="shared" si="244"/>
        <v>7410.47882</v>
      </c>
      <c r="BE258" s="90">
        <f t="shared" si="244"/>
        <v>3994.251016</v>
      </c>
      <c r="BF258" s="90">
        <f t="shared" si="244"/>
        <v>7739.657291</v>
      </c>
      <c r="BG258" s="90">
        <f t="shared" si="244"/>
        <v>5162.897657</v>
      </c>
      <c r="BH258" s="90">
        <f t="shared" si="244"/>
        <v>3485.676604</v>
      </c>
      <c r="BI258" s="90">
        <f t="shared" si="244"/>
        <v>7306.19862</v>
      </c>
      <c r="BJ258" s="90">
        <f t="shared" si="244"/>
        <v>3774.076672</v>
      </c>
      <c r="BK258" s="90">
        <f t="shared" si="244"/>
        <v>7645.514178</v>
      </c>
      <c r="BL258" s="90">
        <f t="shared" si="244"/>
        <v>5947.565764</v>
      </c>
      <c r="BM258" s="90">
        <f t="shared" si="244"/>
        <v>18.97475931</v>
      </c>
      <c r="BN258" s="90">
        <f t="shared" si="244"/>
        <v>12356.50699</v>
      </c>
      <c r="BO258" s="90">
        <f t="shared" si="244"/>
        <v>4510.35515</v>
      </c>
      <c r="BP258" s="90">
        <f t="shared" si="244"/>
        <v>8512.081317</v>
      </c>
      <c r="BQ258" s="90">
        <f t="shared" si="244"/>
        <v>4811.100907</v>
      </c>
      <c r="BR258" s="90">
        <f t="shared" si="244"/>
        <v>8866.166672</v>
      </c>
      <c r="BS258" s="75"/>
    </row>
    <row r="259" ht="7.5" customHeight="1">
      <c r="A259" s="80"/>
      <c r="B259" s="75"/>
      <c r="C259" s="82"/>
      <c r="D259" s="82"/>
      <c r="E259" s="82"/>
      <c r="F259" s="82"/>
      <c r="G259" s="82"/>
      <c r="H259" s="82"/>
      <c r="I259" s="82"/>
      <c r="J259" s="82"/>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c r="BD259" s="286"/>
      <c r="BE259" s="286"/>
      <c r="BF259" s="286"/>
      <c r="BG259" s="286"/>
      <c r="BH259" s="286"/>
      <c r="BI259" s="286"/>
      <c r="BJ259" s="286"/>
      <c r="BK259" s="286"/>
      <c r="BL259" s="286"/>
      <c r="BM259" s="286"/>
      <c r="BN259" s="286"/>
      <c r="BO259" s="286"/>
      <c r="BP259" s="286"/>
      <c r="BQ259" s="286"/>
      <c r="BR259" s="286"/>
      <c r="BS259" s="82"/>
    </row>
    <row r="260" ht="15.75" customHeight="1">
      <c r="A260" s="80"/>
      <c r="B260" s="75" t="s">
        <v>150</v>
      </c>
      <c r="C260" s="92"/>
      <c r="D260" s="85"/>
      <c r="E260" s="93"/>
      <c r="F260" s="93"/>
      <c r="G260" s="93"/>
      <c r="H260" s="93"/>
      <c r="I260" s="93"/>
      <c r="J260" s="93"/>
      <c r="K260" s="123">
        <f t="shared" ref="K260:BR260" si="245">-K$239</f>
        <v>-177825</v>
      </c>
      <c r="L260" s="123">
        <f t="shared" si="245"/>
        <v>0</v>
      </c>
      <c r="M260" s="123">
        <f t="shared" si="245"/>
        <v>0</v>
      </c>
      <c r="N260" s="123">
        <f t="shared" si="245"/>
        <v>0</v>
      </c>
      <c r="O260" s="123">
        <f t="shared" si="245"/>
        <v>0</v>
      </c>
      <c r="P260" s="123">
        <f t="shared" si="245"/>
        <v>0</v>
      </c>
      <c r="Q260" s="123">
        <f t="shared" si="245"/>
        <v>0</v>
      </c>
      <c r="R260" s="123">
        <f t="shared" si="245"/>
        <v>0</v>
      </c>
      <c r="S260" s="123">
        <f t="shared" si="245"/>
        <v>0</v>
      </c>
      <c r="T260" s="123">
        <f t="shared" si="245"/>
        <v>0</v>
      </c>
      <c r="U260" s="123">
        <f t="shared" si="245"/>
        <v>0</v>
      </c>
      <c r="V260" s="123">
        <f t="shared" si="245"/>
        <v>0</v>
      </c>
      <c r="W260" s="123">
        <f t="shared" si="245"/>
        <v>0</v>
      </c>
      <c r="X260" s="123">
        <f t="shared" si="245"/>
        <v>0</v>
      </c>
      <c r="Y260" s="123">
        <f t="shared" si="245"/>
        <v>0</v>
      </c>
      <c r="Z260" s="123">
        <f t="shared" si="245"/>
        <v>0</v>
      </c>
      <c r="AA260" s="123">
        <f t="shared" si="245"/>
        <v>0</v>
      </c>
      <c r="AB260" s="123">
        <f t="shared" si="245"/>
        <v>0</v>
      </c>
      <c r="AC260" s="123">
        <f t="shared" si="245"/>
        <v>0</v>
      </c>
      <c r="AD260" s="123">
        <f t="shared" si="245"/>
        <v>0</v>
      </c>
      <c r="AE260" s="123">
        <f t="shared" si="245"/>
        <v>0</v>
      </c>
      <c r="AF260" s="123">
        <f t="shared" si="245"/>
        <v>0</v>
      </c>
      <c r="AG260" s="123">
        <f t="shared" si="245"/>
        <v>0</v>
      </c>
      <c r="AH260" s="123">
        <f t="shared" si="245"/>
        <v>0</v>
      </c>
      <c r="AI260" s="123">
        <f t="shared" si="245"/>
        <v>0</v>
      </c>
      <c r="AJ260" s="123">
        <f t="shared" si="245"/>
        <v>0</v>
      </c>
      <c r="AK260" s="123">
        <f t="shared" si="245"/>
        <v>0</v>
      </c>
      <c r="AL260" s="123">
        <f t="shared" si="245"/>
        <v>0</v>
      </c>
      <c r="AM260" s="123">
        <f t="shared" si="245"/>
        <v>0</v>
      </c>
      <c r="AN260" s="123">
        <f t="shared" si="245"/>
        <v>0</v>
      </c>
      <c r="AO260" s="123">
        <f t="shared" si="245"/>
        <v>0</v>
      </c>
      <c r="AP260" s="123">
        <f t="shared" si="245"/>
        <v>0</v>
      </c>
      <c r="AQ260" s="123">
        <f t="shared" si="245"/>
        <v>0</v>
      </c>
      <c r="AR260" s="123">
        <f t="shared" si="245"/>
        <v>0</v>
      </c>
      <c r="AS260" s="123">
        <f t="shared" si="245"/>
        <v>0</v>
      </c>
      <c r="AT260" s="123">
        <f t="shared" si="245"/>
        <v>0</v>
      </c>
      <c r="AU260" s="123">
        <f t="shared" si="245"/>
        <v>0</v>
      </c>
      <c r="AV260" s="123">
        <f t="shared" si="245"/>
        <v>0</v>
      </c>
      <c r="AW260" s="123">
        <f t="shared" si="245"/>
        <v>0</v>
      </c>
      <c r="AX260" s="123">
        <f t="shared" si="245"/>
        <v>0</v>
      </c>
      <c r="AY260" s="123">
        <f t="shared" si="245"/>
        <v>0</v>
      </c>
      <c r="AZ260" s="123">
        <f t="shared" si="245"/>
        <v>0</v>
      </c>
      <c r="BA260" s="123">
        <f t="shared" si="245"/>
        <v>0</v>
      </c>
      <c r="BB260" s="123">
        <f t="shared" si="245"/>
        <v>0</v>
      </c>
      <c r="BC260" s="123">
        <f t="shared" si="245"/>
        <v>0</v>
      </c>
      <c r="BD260" s="123">
        <f t="shared" si="245"/>
        <v>0</v>
      </c>
      <c r="BE260" s="123">
        <f t="shared" si="245"/>
        <v>0</v>
      </c>
      <c r="BF260" s="123">
        <f t="shared" si="245"/>
        <v>0</v>
      </c>
      <c r="BG260" s="123">
        <f t="shared" si="245"/>
        <v>0</v>
      </c>
      <c r="BH260" s="123">
        <f t="shared" si="245"/>
        <v>0</v>
      </c>
      <c r="BI260" s="123">
        <f t="shared" si="245"/>
        <v>0</v>
      </c>
      <c r="BJ260" s="123">
        <f t="shared" si="245"/>
        <v>0</v>
      </c>
      <c r="BK260" s="123">
        <f t="shared" si="245"/>
        <v>0</v>
      </c>
      <c r="BL260" s="123">
        <f t="shared" si="245"/>
        <v>0</v>
      </c>
      <c r="BM260" s="123">
        <f t="shared" si="245"/>
        <v>0</v>
      </c>
      <c r="BN260" s="123">
        <f t="shared" si="245"/>
        <v>0</v>
      </c>
      <c r="BO260" s="123">
        <f t="shared" si="245"/>
        <v>0</v>
      </c>
      <c r="BP260" s="123">
        <f t="shared" si="245"/>
        <v>0</v>
      </c>
      <c r="BQ260" s="123">
        <f t="shared" si="245"/>
        <v>0</v>
      </c>
      <c r="BR260" s="123">
        <f t="shared" si="245"/>
        <v>0</v>
      </c>
      <c r="BS260" s="119"/>
    </row>
    <row r="261" ht="15.75" customHeight="1">
      <c r="A261" s="80"/>
      <c r="B261" s="75" t="s">
        <v>372</v>
      </c>
      <c r="C261" s="92"/>
      <c r="D261" s="85"/>
      <c r="E261" s="93"/>
      <c r="F261" s="93"/>
      <c r="G261" s="93"/>
      <c r="H261" s="93"/>
      <c r="I261" s="93"/>
      <c r="J261" s="93"/>
      <c r="K261" s="123">
        <f t="shared" ref="K261:BR261" si="246">K$192+K199+K206</f>
        <v>239400</v>
      </c>
      <c r="L261" s="123">
        <f t="shared" si="246"/>
        <v>0</v>
      </c>
      <c r="M261" s="123">
        <f t="shared" si="246"/>
        <v>0</v>
      </c>
      <c r="N261" s="123">
        <f t="shared" si="246"/>
        <v>0</v>
      </c>
      <c r="O261" s="123">
        <f t="shared" si="246"/>
        <v>0</v>
      </c>
      <c r="P261" s="123">
        <f t="shared" si="246"/>
        <v>0</v>
      </c>
      <c r="Q261" s="123">
        <f t="shared" si="246"/>
        <v>0</v>
      </c>
      <c r="R261" s="123">
        <f t="shared" si="246"/>
        <v>0</v>
      </c>
      <c r="S261" s="123">
        <f t="shared" si="246"/>
        <v>0</v>
      </c>
      <c r="T261" s="123">
        <f t="shared" si="246"/>
        <v>0</v>
      </c>
      <c r="U261" s="123">
        <f t="shared" si="246"/>
        <v>0</v>
      </c>
      <c r="V261" s="123">
        <f t="shared" si="246"/>
        <v>0</v>
      </c>
      <c r="W261" s="123">
        <f t="shared" si="246"/>
        <v>0</v>
      </c>
      <c r="X261" s="123">
        <f t="shared" si="246"/>
        <v>0</v>
      </c>
      <c r="Y261" s="123">
        <f t="shared" si="246"/>
        <v>0</v>
      </c>
      <c r="Z261" s="123">
        <f t="shared" si="246"/>
        <v>0</v>
      </c>
      <c r="AA261" s="123">
        <f t="shared" si="246"/>
        <v>0</v>
      </c>
      <c r="AB261" s="123">
        <f t="shared" si="246"/>
        <v>0</v>
      </c>
      <c r="AC261" s="123">
        <f t="shared" si="246"/>
        <v>0</v>
      </c>
      <c r="AD261" s="123">
        <f t="shared" si="246"/>
        <v>0</v>
      </c>
      <c r="AE261" s="123">
        <f t="shared" si="246"/>
        <v>0</v>
      </c>
      <c r="AF261" s="123">
        <f t="shared" si="246"/>
        <v>0</v>
      </c>
      <c r="AG261" s="123">
        <f t="shared" si="246"/>
        <v>0</v>
      </c>
      <c r="AH261" s="123">
        <f t="shared" si="246"/>
        <v>0</v>
      </c>
      <c r="AI261" s="123">
        <f t="shared" si="246"/>
        <v>0</v>
      </c>
      <c r="AJ261" s="123">
        <f t="shared" si="246"/>
        <v>0</v>
      </c>
      <c r="AK261" s="123">
        <f t="shared" si="246"/>
        <v>0</v>
      </c>
      <c r="AL261" s="123">
        <f t="shared" si="246"/>
        <v>0</v>
      </c>
      <c r="AM261" s="123">
        <f t="shared" si="246"/>
        <v>0</v>
      </c>
      <c r="AN261" s="123">
        <f t="shared" si="246"/>
        <v>0</v>
      </c>
      <c r="AO261" s="123">
        <f t="shared" si="246"/>
        <v>0</v>
      </c>
      <c r="AP261" s="123">
        <f t="shared" si="246"/>
        <v>0</v>
      </c>
      <c r="AQ261" s="123">
        <f t="shared" si="246"/>
        <v>0</v>
      </c>
      <c r="AR261" s="123">
        <f t="shared" si="246"/>
        <v>0</v>
      </c>
      <c r="AS261" s="123">
        <f t="shared" si="246"/>
        <v>0</v>
      </c>
      <c r="AT261" s="123">
        <f t="shared" si="246"/>
        <v>0</v>
      </c>
      <c r="AU261" s="123">
        <f t="shared" si="246"/>
        <v>0</v>
      </c>
      <c r="AV261" s="123">
        <f t="shared" si="246"/>
        <v>0</v>
      </c>
      <c r="AW261" s="123">
        <f t="shared" si="246"/>
        <v>0</v>
      </c>
      <c r="AX261" s="123">
        <f t="shared" si="246"/>
        <v>0</v>
      </c>
      <c r="AY261" s="123">
        <f t="shared" si="246"/>
        <v>0</v>
      </c>
      <c r="AZ261" s="123">
        <f t="shared" si="246"/>
        <v>0</v>
      </c>
      <c r="BA261" s="123">
        <f t="shared" si="246"/>
        <v>0</v>
      </c>
      <c r="BB261" s="123">
        <f t="shared" si="246"/>
        <v>0</v>
      </c>
      <c r="BC261" s="123">
        <f t="shared" si="246"/>
        <v>0</v>
      </c>
      <c r="BD261" s="123">
        <f t="shared" si="246"/>
        <v>0</v>
      </c>
      <c r="BE261" s="123">
        <f t="shared" si="246"/>
        <v>0</v>
      </c>
      <c r="BF261" s="123">
        <f t="shared" si="246"/>
        <v>0</v>
      </c>
      <c r="BG261" s="123">
        <f t="shared" si="246"/>
        <v>0</v>
      </c>
      <c r="BH261" s="123">
        <f t="shared" si="246"/>
        <v>0</v>
      </c>
      <c r="BI261" s="123">
        <f t="shared" si="246"/>
        <v>0</v>
      </c>
      <c r="BJ261" s="123">
        <f t="shared" si="246"/>
        <v>0</v>
      </c>
      <c r="BK261" s="123">
        <f t="shared" si="246"/>
        <v>0</v>
      </c>
      <c r="BL261" s="123">
        <f t="shared" si="246"/>
        <v>0</v>
      </c>
      <c r="BM261" s="123">
        <f t="shared" si="246"/>
        <v>0</v>
      </c>
      <c r="BN261" s="123">
        <f t="shared" si="246"/>
        <v>0</v>
      </c>
      <c r="BO261" s="123">
        <f t="shared" si="246"/>
        <v>0</v>
      </c>
      <c r="BP261" s="123">
        <f t="shared" si="246"/>
        <v>0</v>
      </c>
      <c r="BQ261" s="123">
        <f t="shared" si="246"/>
        <v>0</v>
      </c>
      <c r="BR261" s="123">
        <f t="shared" si="246"/>
        <v>0</v>
      </c>
      <c r="BS261" s="119"/>
    </row>
    <row r="262" ht="15.75" customHeight="1">
      <c r="A262" s="80"/>
      <c r="B262" s="75" t="s">
        <v>373</v>
      </c>
      <c r="C262" s="92"/>
      <c r="D262" s="85"/>
      <c r="E262" s="93"/>
      <c r="F262" s="93"/>
      <c r="G262" s="93"/>
      <c r="H262" s="93"/>
      <c r="I262" s="93"/>
      <c r="J262" s="93"/>
      <c r="K262" s="123">
        <f t="shared" ref="K262:BR262" si="247">K$193+K200+K207</f>
        <v>-1662.5</v>
      </c>
      <c r="L262" s="123">
        <f t="shared" si="247"/>
        <v>-1662.5</v>
      </c>
      <c r="M262" s="123">
        <f t="shared" si="247"/>
        <v>-1662.5</v>
      </c>
      <c r="N262" s="123">
        <f t="shared" si="247"/>
        <v>-1662.5</v>
      </c>
      <c r="O262" s="123">
        <f t="shared" si="247"/>
        <v>-1662.5</v>
      </c>
      <c r="P262" s="123">
        <f t="shared" si="247"/>
        <v>-1662.5</v>
      </c>
      <c r="Q262" s="123">
        <f t="shared" si="247"/>
        <v>-1662.5</v>
      </c>
      <c r="R262" s="123">
        <f t="shared" si="247"/>
        <v>-1662.5</v>
      </c>
      <c r="S262" s="123">
        <f t="shared" si="247"/>
        <v>-1662.5</v>
      </c>
      <c r="T262" s="123">
        <f t="shared" si="247"/>
        <v>-1662.5</v>
      </c>
      <c r="U262" s="123">
        <f t="shared" si="247"/>
        <v>-1662.5</v>
      </c>
      <c r="V262" s="123">
        <f t="shared" si="247"/>
        <v>-1662.5</v>
      </c>
      <c r="W262" s="123">
        <f t="shared" si="247"/>
        <v>-1662.5</v>
      </c>
      <c r="X262" s="123">
        <f t="shared" si="247"/>
        <v>-1662.5</v>
      </c>
      <c r="Y262" s="123">
        <f t="shared" si="247"/>
        <v>-1662.5</v>
      </c>
      <c r="Z262" s="123">
        <f t="shared" si="247"/>
        <v>-1662.5</v>
      </c>
      <c r="AA262" s="123">
        <f t="shared" si="247"/>
        <v>-1662.5</v>
      </c>
      <c r="AB262" s="123">
        <f t="shared" si="247"/>
        <v>-1662.5</v>
      </c>
      <c r="AC262" s="123">
        <f t="shared" si="247"/>
        <v>-1662.5</v>
      </c>
      <c r="AD262" s="123">
        <f t="shared" si="247"/>
        <v>-1662.5</v>
      </c>
      <c r="AE262" s="123">
        <f t="shared" si="247"/>
        <v>-1662.5</v>
      </c>
      <c r="AF262" s="123">
        <f t="shared" si="247"/>
        <v>-1662.5</v>
      </c>
      <c r="AG262" s="123">
        <f t="shared" si="247"/>
        <v>-1662.5</v>
      </c>
      <c r="AH262" s="123">
        <f t="shared" si="247"/>
        <v>-1662.5</v>
      </c>
      <c r="AI262" s="123">
        <f t="shared" si="247"/>
        <v>-1662.5</v>
      </c>
      <c r="AJ262" s="123">
        <f t="shared" si="247"/>
        <v>-1662.5</v>
      </c>
      <c r="AK262" s="123">
        <f t="shared" si="247"/>
        <v>-1662.5</v>
      </c>
      <c r="AL262" s="123">
        <f t="shared" si="247"/>
        <v>-1662.5</v>
      </c>
      <c r="AM262" s="123">
        <f t="shared" si="247"/>
        <v>-1662.5</v>
      </c>
      <c r="AN262" s="123">
        <f t="shared" si="247"/>
        <v>-1662.5</v>
      </c>
      <c r="AO262" s="123">
        <f t="shared" si="247"/>
        <v>-1662.5</v>
      </c>
      <c r="AP262" s="123">
        <f t="shared" si="247"/>
        <v>-1662.5</v>
      </c>
      <c r="AQ262" s="123">
        <f t="shared" si="247"/>
        <v>-1662.5</v>
      </c>
      <c r="AR262" s="123">
        <f t="shared" si="247"/>
        <v>-1662.5</v>
      </c>
      <c r="AS262" s="123">
        <f t="shared" si="247"/>
        <v>-1662.5</v>
      </c>
      <c r="AT262" s="123">
        <f t="shared" si="247"/>
        <v>-1662.5</v>
      </c>
      <c r="AU262" s="123">
        <f t="shared" si="247"/>
        <v>-1662.5</v>
      </c>
      <c r="AV262" s="123">
        <f t="shared" si="247"/>
        <v>-1662.5</v>
      </c>
      <c r="AW262" s="123">
        <f t="shared" si="247"/>
        <v>-1662.5</v>
      </c>
      <c r="AX262" s="123">
        <f t="shared" si="247"/>
        <v>-1662.5</v>
      </c>
      <c r="AY262" s="123">
        <f t="shared" si="247"/>
        <v>-1662.5</v>
      </c>
      <c r="AZ262" s="123">
        <f t="shared" si="247"/>
        <v>-1662.5</v>
      </c>
      <c r="BA262" s="123">
        <f t="shared" si="247"/>
        <v>-1662.5</v>
      </c>
      <c r="BB262" s="123">
        <f t="shared" si="247"/>
        <v>-1662.5</v>
      </c>
      <c r="BC262" s="123">
        <f t="shared" si="247"/>
        <v>-1662.5</v>
      </c>
      <c r="BD262" s="123">
        <f t="shared" si="247"/>
        <v>-1662.5</v>
      </c>
      <c r="BE262" s="123">
        <f t="shared" si="247"/>
        <v>-1662.5</v>
      </c>
      <c r="BF262" s="123">
        <f t="shared" si="247"/>
        <v>-1662.5</v>
      </c>
      <c r="BG262" s="123">
        <f t="shared" si="247"/>
        <v>-1662.5</v>
      </c>
      <c r="BH262" s="123">
        <f t="shared" si="247"/>
        <v>-1662.5</v>
      </c>
      <c r="BI262" s="123">
        <f t="shared" si="247"/>
        <v>-1662.5</v>
      </c>
      <c r="BJ262" s="123">
        <f t="shared" si="247"/>
        <v>-1662.5</v>
      </c>
      <c r="BK262" s="123">
        <f t="shared" si="247"/>
        <v>-1662.5</v>
      </c>
      <c r="BL262" s="123">
        <f t="shared" si="247"/>
        <v>-1662.5</v>
      </c>
      <c r="BM262" s="123">
        <f t="shared" si="247"/>
        <v>-1662.5</v>
      </c>
      <c r="BN262" s="123">
        <f t="shared" si="247"/>
        <v>-1662.5</v>
      </c>
      <c r="BO262" s="123">
        <f t="shared" si="247"/>
        <v>-1662.5</v>
      </c>
      <c r="BP262" s="123">
        <f t="shared" si="247"/>
        <v>-1662.5</v>
      </c>
      <c r="BQ262" s="123">
        <f t="shared" si="247"/>
        <v>-1662.5</v>
      </c>
      <c r="BR262" s="123">
        <f t="shared" si="247"/>
        <v>-1662.5</v>
      </c>
      <c r="BS262" s="119"/>
    </row>
    <row r="263" ht="15.75" customHeight="1">
      <c r="A263" s="80"/>
      <c r="B263" s="75" t="s">
        <v>46</v>
      </c>
      <c r="C263" s="92"/>
      <c r="D263" s="85"/>
      <c r="E263" s="93"/>
      <c r="F263" s="93"/>
      <c r="G263" s="93"/>
      <c r="H263" s="93"/>
      <c r="I263" s="93"/>
      <c r="J263" s="93"/>
      <c r="K263" s="123">
        <f t="shared" ref="K263:BR263" si="248">SUM(K258:K262)</f>
        <v>38390.2914</v>
      </c>
      <c r="L263" s="123">
        <f t="shared" si="248"/>
        <v>-12949.58872</v>
      </c>
      <c r="M263" s="123">
        <f t="shared" si="248"/>
        <v>-9593.89096</v>
      </c>
      <c r="N263" s="123">
        <f t="shared" si="248"/>
        <v>-10162.13838</v>
      </c>
      <c r="O263" s="123">
        <f t="shared" si="248"/>
        <v>-8259.117632</v>
      </c>
      <c r="P263" s="123">
        <f t="shared" si="248"/>
        <v>-8292.185955</v>
      </c>
      <c r="Q263" s="123">
        <f t="shared" si="248"/>
        <v>-10285.51635</v>
      </c>
      <c r="R263" s="123">
        <f t="shared" si="248"/>
        <v>-4461.971461</v>
      </c>
      <c r="S263" s="123">
        <f t="shared" si="248"/>
        <v>-7376.124707</v>
      </c>
      <c r="T263" s="123">
        <f t="shared" si="248"/>
        <v>-4922.184309</v>
      </c>
      <c r="U263" s="123">
        <f t="shared" si="248"/>
        <v>-6261.71924</v>
      </c>
      <c r="V263" s="123">
        <f t="shared" si="248"/>
        <v>-3587.410981</v>
      </c>
      <c r="W263" s="123">
        <f t="shared" si="248"/>
        <v>-3789.86329</v>
      </c>
      <c r="X263" s="123">
        <f t="shared" si="248"/>
        <v>-4356.772758</v>
      </c>
      <c r="Y263" s="123">
        <f t="shared" si="248"/>
        <v>-1334.834198</v>
      </c>
      <c r="Z263" s="123">
        <f t="shared" si="248"/>
        <v>-3208.210272</v>
      </c>
      <c r="AA263" s="123">
        <f t="shared" si="248"/>
        <v>34.09614978</v>
      </c>
      <c r="AB263" s="123">
        <f t="shared" si="248"/>
        <v>-642.9972488</v>
      </c>
      <c r="AC263" s="123">
        <f t="shared" si="248"/>
        <v>-3853.044328</v>
      </c>
      <c r="AD263" s="123">
        <f t="shared" si="248"/>
        <v>5535.280806</v>
      </c>
      <c r="AE263" s="123">
        <f t="shared" si="248"/>
        <v>-346.3136009</v>
      </c>
      <c r="AF263" s="123">
        <f t="shared" si="248"/>
        <v>2766.358741</v>
      </c>
      <c r="AG263" s="123">
        <f t="shared" si="248"/>
        <v>-3.75165268</v>
      </c>
      <c r="AH263" s="123">
        <f t="shared" si="248"/>
        <v>3176.41034</v>
      </c>
      <c r="AI263" s="123">
        <f t="shared" si="248"/>
        <v>1529.65295</v>
      </c>
      <c r="AJ263" s="123">
        <f t="shared" si="248"/>
        <v>154.0489669</v>
      </c>
      <c r="AK263" s="123">
        <f t="shared" si="248"/>
        <v>3389.332127</v>
      </c>
      <c r="AL263" s="123">
        <f t="shared" si="248"/>
        <v>453.9067237</v>
      </c>
      <c r="AM263" s="123">
        <f t="shared" si="248"/>
        <v>3743.092484</v>
      </c>
      <c r="AN263" s="123">
        <f t="shared" si="248"/>
        <v>2346.714037</v>
      </c>
      <c r="AO263" s="123">
        <f t="shared" si="248"/>
        <v>-2634.307783</v>
      </c>
      <c r="AP263" s="123">
        <f t="shared" si="248"/>
        <v>7830.470909</v>
      </c>
      <c r="AQ263" s="123">
        <f t="shared" si="248"/>
        <v>1223.542835</v>
      </c>
      <c r="AR263" s="123">
        <f t="shared" si="248"/>
        <v>4651.464967</v>
      </c>
      <c r="AS263" s="123">
        <f t="shared" si="248"/>
        <v>1539.595554</v>
      </c>
      <c r="AT263" s="123">
        <f t="shared" si="248"/>
        <v>5024.644312</v>
      </c>
      <c r="AU263" s="123">
        <f t="shared" si="248"/>
        <v>2645.438061</v>
      </c>
      <c r="AV263" s="123">
        <f t="shared" si="248"/>
        <v>1097.871641</v>
      </c>
      <c r="AW263" s="123">
        <f t="shared" si="248"/>
        <v>4626.709259</v>
      </c>
      <c r="AX263" s="123">
        <f t="shared" si="248"/>
        <v>1366.398851</v>
      </c>
      <c r="AY263" s="123">
        <f t="shared" si="248"/>
        <v>4942.249869</v>
      </c>
      <c r="AZ263" s="123">
        <f t="shared" si="248"/>
        <v>3375.544602</v>
      </c>
      <c r="BA263" s="123">
        <f t="shared" si="248"/>
        <v>-94.40996908</v>
      </c>
      <c r="BB263" s="123">
        <f t="shared" si="248"/>
        <v>7292.380611</v>
      </c>
      <c r="BC263" s="123">
        <f t="shared" si="248"/>
        <v>2051.824274</v>
      </c>
      <c r="BD263" s="123">
        <f t="shared" si="248"/>
        <v>5747.97882</v>
      </c>
      <c r="BE263" s="123">
        <f t="shared" si="248"/>
        <v>2331.751016</v>
      </c>
      <c r="BF263" s="123">
        <f t="shared" si="248"/>
        <v>6077.157291</v>
      </c>
      <c r="BG263" s="123">
        <f t="shared" si="248"/>
        <v>3500.397657</v>
      </c>
      <c r="BH263" s="123">
        <f t="shared" si="248"/>
        <v>1823.176604</v>
      </c>
      <c r="BI263" s="123">
        <f t="shared" si="248"/>
        <v>5643.69862</v>
      </c>
      <c r="BJ263" s="123">
        <f t="shared" si="248"/>
        <v>2111.576672</v>
      </c>
      <c r="BK263" s="123">
        <f t="shared" si="248"/>
        <v>5983.014178</v>
      </c>
      <c r="BL263" s="123">
        <f t="shared" si="248"/>
        <v>4285.065764</v>
      </c>
      <c r="BM263" s="123">
        <f t="shared" si="248"/>
        <v>-1643.525241</v>
      </c>
      <c r="BN263" s="123">
        <f t="shared" si="248"/>
        <v>10694.00699</v>
      </c>
      <c r="BO263" s="123">
        <f t="shared" si="248"/>
        <v>2847.85515</v>
      </c>
      <c r="BP263" s="123">
        <f t="shared" si="248"/>
        <v>6849.581317</v>
      </c>
      <c r="BQ263" s="123">
        <f t="shared" si="248"/>
        <v>3148.600907</v>
      </c>
      <c r="BR263" s="123">
        <f t="shared" si="248"/>
        <v>7203.666672</v>
      </c>
      <c r="BS263" s="119"/>
    </row>
    <row r="264" ht="7.5" customHeight="1">
      <c r="A264" s="80"/>
      <c r="B264" s="75"/>
      <c r="C264" s="82"/>
      <c r="D264" s="82"/>
      <c r="E264" s="82"/>
      <c r="F264" s="82"/>
      <c r="G264" s="82"/>
      <c r="H264" s="82"/>
      <c r="I264" s="82"/>
      <c r="J264" s="82"/>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c r="BD264" s="286"/>
      <c r="BE264" s="286"/>
      <c r="BF264" s="286"/>
      <c r="BG264" s="286"/>
      <c r="BH264" s="286"/>
      <c r="BI264" s="286"/>
      <c r="BJ264" s="286"/>
      <c r="BK264" s="286"/>
      <c r="BL264" s="286"/>
      <c r="BM264" s="286"/>
      <c r="BN264" s="286"/>
      <c r="BO264" s="286"/>
      <c r="BP264" s="286"/>
      <c r="BQ264" s="286"/>
      <c r="BR264" s="286"/>
      <c r="BS264" s="82"/>
    </row>
    <row r="265" ht="15.75" customHeight="1">
      <c r="A265" s="80"/>
      <c r="B265" s="332" t="s">
        <v>374</v>
      </c>
      <c r="C265" s="92"/>
      <c r="D265" s="85"/>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c r="BL265" s="93"/>
      <c r="BM265" s="93"/>
      <c r="BN265" s="93"/>
      <c r="BO265" s="93"/>
      <c r="BP265" s="93"/>
      <c r="BQ265" s="93"/>
      <c r="BR265" s="93"/>
      <c r="BS265" s="119"/>
    </row>
    <row r="266" ht="15.75" customHeight="1">
      <c r="A266" s="80"/>
      <c r="B266" s="75" t="s">
        <v>375</v>
      </c>
      <c r="C266" s="92"/>
      <c r="D266" s="85"/>
      <c r="E266" s="93"/>
      <c r="F266" s="93"/>
      <c r="G266" s="93"/>
      <c r="H266" s="93"/>
      <c r="I266" s="93"/>
      <c r="J266" s="93"/>
      <c r="K266" s="123">
        <f>IFERROR(IF(K$1&lt;Breakeven,K258,),0)</f>
        <v>-21522.2086</v>
      </c>
      <c r="L266" s="123">
        <f>IFERROR(IF(L$1&lt;Breakeven,L258,),0)</f>
        <v>-11287.08872</v>
      </c>
      <c r="M266" s="123">
        <f>IFERROR(IF(M$1&lt;Breakeven,M258,),0)</f>
        <v>-7931.39096</v>
      </c>
      <c r="N266" s="123">
        <f>IFERROR(IF(N$1&lt;Breakeven,N258,),0)</f>
        <v>-8499.638376</v>
      </c>
      <c r="O266" s="123">
        <f>IFERROR(IF(O$1&lt;Breakeven,O258,),0)</f>
        <v>-6596.617632</v>
      </c>
      <c r="P266" s="123">
        <f>IFERROR(IF(P$1&lt;Breakeven,P258,),0)</f>
        <v>-6629.685955</v>
      </c>
      <c r="Q266" s="123">
        <f>IFERROR(IF(Q$1&lt;Breakeven,Q258,),0)</f>
        <v>-8623.016352</v>
      </c>
      <c r="R266" s="123">
        <f>IFERROR(IF(R$1&lt;Breakeven,R258,),0)</f>
        <v>-2799.471461</v>
      </c>
      <c r="S266" s="123">
        <f>IFERROR(IF(S$1&lt;Breakeven,S258,),0)</f>
        <v>-5713.624707</v>
      </c>
      <c r="T266" s="123">
        <f>IFERROR(IF(T$1&lt;Breakeven,T258,),0)</f>
        <v>-3259.684309</v>
      </c>
      <c r="U266" s="123">
        <f>IFERROR(IF(U$1&lt;Breakeven,U258,),0)</f>
        <v>-4599.21924</v>
      </c>
      <c r="V266" s="123">
        <f>IFERROR(IF(V$1&lt;Breakeven,V258,),0)</f>
        <v>-1924.910981</v>
      </c>
      <c r="W266" s="123">
        <f>IFERROR(IF(W$1&lt;Breakeven,W258,),0)</f>
        <v>-2127.36329</v>
      </c>
      <c r="X266" s="123">
        <f>IFERROR(IF(X$1&lt;Breakeven,X258,),0)</f>
        <v>-2694.272758</v>
      </c>
      <c r="Y266" s="123" t="str">
        <f>IFERROR(IF(Y$1&lt;Breakeven,Y258,),0)</f>
        <v/>
      </c>
      <c r="Z266" s="123" t="str">
        <f>IFERROR(IF(Z$1&lt;Breakeven,Z258,),0)</f>
        <v/>
      </c>
      <c r="AA266" s="123" t="str">
        <f>IFERROR(IF(AA$1&lt;Breakeven,AA258,),0)</f>
        <v/>
      </c>
      <c r="AB266" s="123" t="str">
        <f>IFERROR(IF(AB$1&lt;Breakeven,AB258,),0)</f>
        <v/>
      </c>
      <c r="AC266" s="123" t="str">
        <f>IFERROR(IF(AC$1&lt;Breakeven,AC258,),0)</f>
        <v/>
      </c>
      <c r="AD266" s="123" t="str">
        <f>IFERROR(IF(AD$1&lt;Breakeven,AD258,),0)</f>
        <v/>
      </c>
      <c r="AE266" s="123" t="str">
        <f>IFERROR(IF(AE$1&lt;Breakeven,AE258,),0)</f>
        <v/>
      </c>
      <c r="AF266" s="123" t="str">
        <f>IFERROR(IF(AF$1&lt;Breakeven,AF258,),0)</f>
        <v/>
      </c>
      <c r="AG266" s="123" t="str">
        <f>IFERROR(IF(AG$1&lt;Breakeven,AG258,),0)</f>
        <v/>
      </c>
      <c r="AH266" s="123" t="str">
        <f>IFERROR(IF(AH$1&lt;Breakeven,AH258,),0)</f>
        <v/>
      </c>
      <c r="AI266" s="123" t="str">
        <f>IFERROR(IF(AI$1&lt;Breakeven,AI258,),0)</f>
        <v/>
      </c>
      <c r="AJ266" s="123" t="str">
        <f>IFERROR(IF(AJ$1&lt;Breakeven,AJ258,),0)</f>
        <v/>
      </c>
      <c r="AK266" s="123" t="str">
        <f>IFERROR(IF(AK$1&lt;Breakeven,AK258,),0)</f>
        <v/>
      </c>
      <c r="AL266" s="123" t="str">
        <f>IFERROR(IF(AL$1&lt;Breakeven,AL258,),0)</f>
        <v/>
      </c>
      <c r="AM266" s="123" t="str">
        <f>IFERROR(IF(AM$1&lt;Breakeven,AM258,),0)</f>
        <v/>
      </c>
      <c r="AN266" s="123" t="str">
        <f>IFERROR(IF(AN$1&lt;Breakeven,AN258,),0)</f>
        <v/>
      </c>
      <c r="AO266" s="123" t="str">
        <f>IFERROR(IF(AO$1&lt;Breakeven,AO258,),0)</f>
        <v/>
      </c>
      <c r="AP266" s="123" t="str">
        <f>IFERROR(IF(AP$1&lt;Breakeven,AP258,),0)</f>
        <v/>
      </c>
      <c r="AQ266" s="123" t="str">
        <f>IFERROR(IF(AQ$1&lt;Breakeven,AQ258,),0)</f>
        <v/>
      </c>
      <c r="AR266" s="123" t="str">
        <f>IFERROR(IF(AR$1&lt;Breakeven,AR258,),0)</f>
        <v/>
      </c>
      <c r="AS266" s="123" t="str">
        <f>IFERROR(IF(AS$1&lt;Breakeven,AS258,),0)</f>
        <v/>
      </c>
      <c r="AT266" s="123" t="str">
        <f>IFERROR(IF(AT$1&lt;Breakeven,AT258,),0)</f>
        <v/>
      </c>
      <c r="AU266" s="123" t="str">
        <f>IFERROR(IF(AU$1&lt;Breakeven,AU258,),0)</f>
        <v/>
      </c>
      <c r="AV266" s="123" t="str">
        <f>IFERROR(IF(AV$1&lt;Breakeven,AV258,),0)</f>
        <v/>
      </c>
      <c r="AW266" s="123" t="str">
        <f>IFERROR(IF(AW$1&lt;Breakeven,AW258,),0)</f>
        <v/>
      </c>
      <c r="AX266" s="123" t="str">
        <f>IFERROR(IF(AX$1&lt;Breakeven,AX258,),0)</f>
        <v/>
      </c>
      <c r="AY266" s="123" t="str">
        <f>IFERROR(IF(AY$1&lt;Breakeven,AY258,),0)</f>
        <v/>
      </c>
      <c r="AZ266" s="123" t="str">
        <f>IFERROR(IF(AZ$1&lt;Breakeven,AZ258,),0)</f>
        <v/>
      </c>
      <c r="BA266" s="123" t="str">
        <f>IFERROR(IF(BA$1&lt;Breakeven,BA258,),0)</f>
        <v/>
      </c>
      <c r="BB266" s="123" t="str">
        <f>IFERROR(IF(BB$1&lt;Breakeven,BB258,),0)</f>
        <v/>
      </c>
      <c r="BC266" s="123" t="str">
        <f>IFERROR(IF(BC$1&lt;Breakeven,BC258,),0)</f>
        <v/>
      </c>
      <c r="BD266" s="123" t="str">
        <f>IFERROR(IF(BD$1&lt;Breakeven,BD258,),0)</f>
        <v/>
      </c>
      <c r="BE266" s="123" t="str">
        <f>IFERROR(IF(BE$1&lt;Breakeven,BE258,),0)</f>
        <v/>
      </c>
      <c r="BF266" s="123" t="str">
        <f>IFERROR(IF(BF$1&lt;Breakeven,BF258,),0)</f>
        <v/>
      </c>
      <c r="BG266" s="123" t="str">
        <f>IFERROR(IF(BG$1&lt;Breakeven,BG258,),0)</f>
        <v/>
      </c>
      <c r="BH266" s="123" t="str">
        <f>IFERROR(IF(BH$1&lt;Breakeven,BH258,),0)</f>
        <v/>
      </c>
      <c r="BI266" s="123" t="str">
        <f>IFERROR(IF(BI$1&lt;Breakeven,BI258,),0)</f>
        <v/>
      </c>
      <c r="BJ266" s="123" t="str">
        <f>IFERROR(IF(BJ$1&lt;Breakeven,BJ258,),0)</f>
        <v/>
      </c>
      <c r="BK266" s="123" t="str">
        <f>IFERROR(IF(BK$1&lt;Breakeven,BK258,),0)</f>
        <v/>
      </c>
      <c r="BL266" s="123" t="str">
        <f>IFERROR(IF(BL$1&lt;Breakeven,BL258,),0)</f>
        <v/>
      </c>
      <c r="BM266" s="123" t="str">
        <f>IFERROR(IF(BM$1&lt;Breakeven,BM258,),0)</f>
        <v/>
      </c>
      <c r="BN266" s="123" t="str">
        <f>IFERROR(IF(BN$1&lt;Breakeven,BN258,),0)</f>
        <v/>
      </c>
      <c r="BO266" s="123" t="str">
        <f>IFERROR(IF(BO$1&lt;Breakeven,BO258,),0)</f>
        <v/>
      </c>
      <c r="BP266" s="123" t="str">
        <f>IFERROR(IF(BP$1&lt;Breakeven,BP258,),0)</f>
        <v/>
      </c>
      <c r="BQ266" s="123" t="str">
        <f>IFERROR(IF(BQ$1&lt;Breakeven,BQ258,),0)</f>
        <v/>
      </c>
      <c r="BR266" s="123" t="str">
        <f>IFERROR(IF(BR$1&lt;Breakeven,BR258,),0)</f>
        <v/>
      </c>
      <c r="BS266" s="119"/>
    </row>
    <row r="267" ht="15.75" customHeight="1">
      <c r="A267" s="80"/>
      <c r="B267" s="75" t="s">
        <v>376</v>
      </c>
      <c r="C267" s="92"/>
      <c r="D267" s="85"/>
      <c r="E267" s="93"/>
      <c r="F267" s="93"/>
      <c r="G267" s="93"/>
      <c r="H267" s="93"/>
      <c r="I267" s="93"/>
      <c r="J267" s="93"/>
      <c r="K267" s="123">
        <f>IFERROR(IF(K$1&lt;Breakeven,K260,),0)</f>
        <v>-177825</v>
      </c>
      <c r="L267" s="123">
        <f>IFERROR(IF(L$1&lt;Breakeven,L260,),0)</f>
        <v>0</v>
      </c>
      <c r="M267" s="123">
        <f>IFERROR(IF(M$1&lt;Breakeven,M260,),0)</f>
        <v>0</v>
      </c>
      <c r="N267" s="123">
        <f>IFERROR(IF(N$1&lt;Breakeven,N260,),0)</f>
        <v>0</v>
      </c>
      <c r="O267" s="123">
        <f>IFERROR(IF(O$1&lt;Breakeven,O260,),0)</f>
        <v>0</v>
      </c>
      <c r="P267" s="123">
        <f>IFERROR(IF(P$1&lt;Breakeven,P260,),0)</f>
        <v>0</v>
      </c>
      <c r="Q267" s="123">
        <f>IFERROR(IF(Q$1&lt;Breakeven,Q260,),0)</f>
        <v>0</v>
      </c>
      <c r="R267" s="123">
        <f>IFERROR(IF(R$1&lt;Breakeven,R260,),0)</f>
        <v>0</v>
      </c>
      <c r="S267" s="123">
        <f>IFERROR(IF(S$1&lt;Breakeven,S260,),0)</f>
        <v>0</v>
      </c>
      <c r="T267" s="123">
        <f>IFERROR(IF(T$1&lt;Breakeven,T260,),0)</f>
        <v>0</v>
      </c>
      <c r="U267" s="123">
        <f>IFERROR(IF(U$1&lt;Breakeven,U260,),0)</f>
        <v>0</v>
      </c>
      <c r="V267" s="123">
        <f>IFERROR(IF(V$1&lt;Breakeven,V260,),0)</f>
        <v>0</v>
      </c>
      <c r="W267" s="123">
        <f>IFERROR(IF(W$1&lt;Breakeven,W260,),0)</f>
        <v>0</v>
      </c>
      <c r="X267" s="123">
        <f>IFERROR(IF(X$1&lt;Breakeven,X260,),0)</f>
        <v>0</v>
      </c>
      <c r="Y267" s="123" t="str">
        <f>IFERROR(IF(Y$1&lt;Breakeven,Y260,),0)</f>
        <v/>
      </c>
      <c r="Z267" s="123" t="str">
        <f>IFERROR(IF(Z$1&lt;Breakeven,Z260,),0)</f>
        <v/>
      </c>
      <c r="AA267" s="123" t="str">
        <f>IFERROR(IF(AA$1&lt;Breakeven,AA260,),0)</f>
        <v/>
      </c>
      <c r="AB267" s="123" t="str">
        <f>IFERROR(IF(AB$1&lt;Breakeven,AB260,),0)</f>
        <v/>
      </c>
      <c r="AC267" s="123" t="str">
        <f>IFERROR(IF(AC$1&lt;Breakeven,AC260,),0)</f>
        <v/>
      </c>
      <c r="AD267" s="123" t="str">
        <f>IFERROR(IF(AD$1&lt;Breakeven,AD260,),0)</f>
        <v/>
      </c>
      <c r="AE267" s="123" t="str">
        <f>IFERROR(IF(AE$1&lt;Breakeven,AE260,),0)</f>
        <v/>
      </c>
      <c r="AF267" s="123" t="str">
        <f>IFERROR(IF(AF$1&lt;Breakeven,AF260,),0)</f>
        <v/>
      </c>
      <c r="AG267" s="123" t="str">
        <f>IFERROR(IF(AG$1&lt;Breakeven,AG260,),0)</f>
        <v/>
      </c>
      <c r="AH267" s="123" t="str">
        <f>IFERROR(IF(AH$1&lt;Breakeven,AH260,),0)</f>
        <v/>
      </c>
      <c r="AI267" s="123" t="str">
        <f>IFERROR(IF(AI$1&lt;Breakeven,AI260,),0)</f>
        <v/>
      </c>
      <c r="AJ267" s="123" t="str">
        <f>IFERROR(IF(AJ$1&lt;Breakeven,AJ260,),0)</f>
        <v/>
      </c>
      <c r="AK267" s="123" t="str">
        <f>IFERROR(IF(AK$1&lt;Breakeven,AK260,),0)</f>
        <v/>
      </c>
      <c r="AL267" s="123" t="str">
        <f>IFERROR(IF(AL$1&lt;Breakeven,AL260,),0)</f>
        <v/>
      </c>
      <c r="AM267" s="123" t="str">
        <f>IFERROR(IF(AM$1&lt;Breakeven,AM260,),0)</f>
        <v/>
      </c>
      <c r="AN267" s="123" t="str">
        <f>IFERROR(IF(AN$1&lt;Breakeven,AN260,),0)</f>
        <v/>
      </c>
      <c r="AO267" s="123" t="str">
        <f>IFERROR(IF(AO$1&lt;Breakeven,AO260,),0)</f>
        <v/>
      </c>
      <c r="AP267" s="123" t="str">
        <f>IFERROR(IF(AP$1&lt;Breakeven,AP260,),0)</f>
        <v/>
      </c>
      <c r="AQ267" s="123" t="str">
        <f>IFERROR(IF(AQ$1&lt;Breakeven,AQ260,),0)</f>
        <v/>
      </c>
      <c r="AR267" s="123" t="str">
        <f>IFERROR(IF(AR$1&lt;Breakeven,AR260,),0)</f>
        <v/>
      </c>
      <c r="AS267" s="123" t="str">
        <f>IFERROR(IF(AS$1&lt;Breakeven,AS260,),0)</f>
        <v/>
      </c>
      <c r="AT267" s="123" t="str">
        <f>IFERROR(IF(AT$1&lt;Breakeven,AT260,),0)</f>
        <v/>
      </c>
      <c r="AU267" s="123" t="str">
        <f>IFERROR(IF(AU$1&lt;Breakeven,AU260,),0)</f>
        <v/>
      </c>
      <c r="AV267" s="123" t="str">
        <f>IFERROR(IF(AV$1&lt;Breakeven,AV260,),0)</f>
        <v/>
      </c>
      <c r="AW267" s="123" t="str">
        <f>IFERROR(IF(AW$1&lt;Breakeven,AW260,),0)</f>
        <v/>
      </c>
      <c r="AX267" s="123" t="str">
        <f>IFERROR(IF(AX$1&lt;Breakeven,AX260,),0)</f>
        <v/>
      </c>
      <c r="AY267" s="123" t="str">
        <f>IFERROR(IF(AY$1&lt;Breakeven,AY260,),0)</f>
        <v/>
      </c>
      <c r="AZ267" s="123" t="str">
        <f>IFERROR(IF(AZ$1&lt;Breakeven,AZ260,),0)</f>
        <v/>
      </c>
      <c r="BA267" s="123" t="str">
        <f>IFERROR(IF(BA$1&lt;Breakeven,BA260,),0)</f>
        <v/>
      </c>
      <c r="BB267" s="123" t="str">
        <f>IFERROR(IF(BB$1&lt;Breakeven,BB260,),0)</f>
        <v/>
      </c>
      <c r="BC267" s="123" t="str">
        <f>IFERROR(IF(BC$1&lt;Breakeven,BC260,),0)</f>
        <v/>
      </c>
      <c r="BD267" s="123" t="str">
        <f>IFERROR(IF(BD$1&lt;Breakeven,BD260,),0)</f>
        <v/>
      </c>
      <c r="BE267" s="123" t="str">
        <f>IFERROR(IF(BE$1&lt;Breakeven,BE260,),0)</f>
        <v/>
      </c>
      <c r="BF267" s="123" t="str">
        <f>IFERROR(IF(BF$1&lt;Breakeven,BF260,),0)</f>
        <v/>
      </c>
      <c r="BG267" s="123" t="str">
        <f>IFERROR(IF(BG$1&lt;Breakeven,BG260,),0)</f>
        <v/>
      </c>
      <c r="BH267" s="123" t="str">
        <f>IFERROR(IF(BH$1&lt;Breakeven,BH260,),0)</f>
        <v/>
      </c>
      <c r="BI267" s="123" t="str">
        <f>IFERROR(IF(BI$1&lt;Breakeven,BI260,),0)</f>
        <v/>
      </c>
      <c r="BJ267" s="123" t="str">
        <f>IFERROR(IF(BJ$1&lt;Breakeven,BJ260,),0)</f>
        <v/>
      </c>
      <c r="BK267" s="123" t="str">
        <f>IFERROR(IF(BK$1&lt;Breakeven,BK260,),0)</f>
        <v/>
      </c>
      <c r="BL267" s="123" t="str">
        <f>IFERROR(IF(BL$1&lt;Breakeven,BL260,),0)</f>
        <v/>
      </c>
      <c r="BM267" s="123" t="str">
        <f>IFERROR(IF(BM$1&lt;Breakeven,BM260,),0)</f>
        <v/>
      </c>
      <c r="BN267" s="123" t="str">
        <f>IFERROR(IF(BN$1&lt;Breakeven,BN260,),0)</f>
        <v/>
      </c>
      <c r="BO267" s="123" t="str">
        <f>IFERROR(IF(BO$1&lt;Breakeven,BO260,),0)</f>
        <v/>
      </c>
      <c r="BP267" s="123" t="str">
        <f>IFERROR(IF(BP$1&lt;Breakeven,BP260,),0)</f>
        <v/>
      </c>
      <c r="BQ267" s="123" t="str">
        <f>IFERROR(IF(BQ$1&lt;Breakeven,BQ260,),0)</f>
        <v/>
      </c>
      <c r="BR267" s="123" t="str">
        <f>IFERROR(IF(BR$1&lt;Breakeven,BR260,),0)</f>
        <v/>
      </c>
      <c r="BS267" s="119"/>
    </row>
    <row r="268" ht="15.75" customHeight="1">
      <c r="A268" s="80"/>
      <c r="B268" s="122"/>
      <c r="C268" s="92"/>
      <c r="D268" s="85"/>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119"/>
    </row>
    <row r="269" ht="15.75" customHeight="1">
      <c r="A269" s="80"/>
      <c r="B269" s="136" t="s">
        <v>152</v>
      </c>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282"/>
    </row>
    <row r="270" ht="15.75" customHeight="1">
      <c r="A270" s="80"/>
      <c r="B270" s="122"/>
      <c r="C270" s="92"/>
      <c r="D270" s="85"/>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c r="BL270" s="93"/>
      <c r="BM270" s="93"/>
      <c r="BN270" s="93"/>
      <c r="BO270" s="93"/>
      <c r="BP270" s="93"/>
      <c r="BQ270" s="93"/>
      <c r="BR270" s="93"/>
      <c r="BS270" s="119"/>
    </row>
    <row r="271" ht="34.5" customHeight="1">
      <c r="A271" s="106"/>
      <c r="B271" s="328" t="s">
        <v>377</v>
      </c>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c r="BJ271" s="75"/>
      <c r="BK271" s="75"/>
      <c r="BL271" s="75"/>
      <c r="BM271" s="75"/>
      <c r="BN271" s="75"/>
      <c r="BO271" s="75"/>
      <c r="BP271" s="75"/>
      <c r="BQ271" s="75"/>
      <c r="BR271" s="75"/>
      <c r="BS271" s="75"/>
    </row>
    <row r="272" ht="15.75" customHeight="1">
      <c r="A272" s="80"/>
      <c r="B272" s="122"/>
      <c r="C272" s="92"/>
      <c r="D272" s="85"/>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c r="BL272" s="93"/>
      <c r="BM272" s="93"/>
      <c r="BN272" s="93"/>
      <c r="BO272" s="93"/>
      <c r="BP272" s="93"/>
      <c r="BQ272" s="93"/>
      <c r="BR272" s="93"/>
      <c r="BS272" s="119"/>
    </row>
    <row r="273" ht="15.75" customHeight="1">
      <c r="A273" s="80"/>
      <c r="B273" s="5" t="s">
        <v>261</v>
      </c>
      <c r="C273" s="92"/>
      <c r="D273" s="85"/>
      <c r="E273" s="93">
        <f t="shared" ref="E273:I273" si="249">E296</f>
        <v>-100859.9225</v>
      </c>
      <c r="F273" s="93">
        <f t="shared" si="249"/>
        <v>-17618.40899</v>
      </c>
      <c r="G273" s="93">
        <f t="shared" si="249"/>
        <v>9551.648035</v>
      </c>
      <c r="H273" s="93">
        <f t="shared" si="249"/>
        <v>21162.7282</v>
      </c>
      <c r="I273" s="93">
        <f t="shared" si="249"/>
        <v>76954.46806</v>
      </c>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c r="BL273" s="93"/>
      <c r="BM273" s="93"/>
      <c r="BN273" s="93"/>
      <c r="BO273" s="93"/>
      <c r="BP273" s="93"/>
      <c r="BQ273" s="93"/>
      <c r="BR273" s="93"/>
      <c r="BS273" s="119"/>
    </row>
    <row r="274" ht="15.75" customHeight="1">
      <c r="A274" s="80"/>
      <c r="B274" s="4" t="s">
        <v>378</v>
      </c>
      <c r="C274" s="92"/>
      <c r="D274" s="85"/>
      <c r="E274" s="93">
        <f t="shared" ref="E274:I274" si="250">E297</f>
        <v>-155859.9225</v>
      </c>
      <c r="F274" s="93">
        <f t="shared" si="250"/>
        <v>-17618.40899</v>
      </c>
      <c r="G274" s="93">
        <f t="shared" si="250"/>
        <v>9551.648035</v>
      </c>
      <c r="H274" s="93">
        <f t="shared" si="250"/>
        <v>21162.7282</v>
      </c>
      <c r="I274" s="93">
        <f t="shared" si="250"/>
        <v>76954.46806</v>
      </c>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c r="BL274" s="93"/>
      <c r="BM274" s="93"/>
      <c r="BN274" s="93"/>
      <c r="BO274" s="93"/>
      <c r="BP274" s="93"/>
      <c r="BQ274" s="93"/>
      <c r="BR274" s="93"/>
      <c r="BS274" s="119"/>
    </row>
    <row r="275" ht="15.75" customHeight="1">
      <c r="A275" s="80"/>
      <c r="B275" s="4" t="s">
        <v>379</v>
      </c>
      <c r="C275" s="92"/>
      <c r="D275" s="85"/>
      <c r="E275" s="93">
        <f t="shared" ref="E275:I275" si="251">-E239</f>
        <v>-177825</v>
      </c>
      <c r="F275" s="93">
        <f t="shared" si="251"/>
        <v>0</v>
      </c>
      <c r="G275" s="93">
        <f t="shared" si="251"/>
        <v>0</v>
      </c>
      <c r="H275" s="93">
        <f t="shared" si="251"/>
        <v>0</v>
      </c>
      <c r="I275" s="93">
        <f t="shared" si="251"/>
        <v>0</v>
      </c>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c r="BL275" s="93"/>
      <c r="BM275" s="93"/>
      <c r="BN275" s="93"/>
      <c r="BO275" s="93"/>
      <c r="BP275" s="93"/>
      <c r="BQ275" s="93"/>
      <c r="BR275" s="93"/>
      <c r="BS275" s="119"/>
    </row>
    <row r="276" ht="15.75" customHeight="1">
      <c r="A276" s="80"/>
      <c r="B276" s="137"/>
      <c r="C276" s="138"/>
      <c r="D276" s="139"/>
      <c r="E276" s="140">
        <f t="shared" ref="E276:I276" si="252">SUM(E274:E275)</f>
        <v>-333684.9225</v>
      </c>
      <c r="F276" s="140">
        <f t="shared" si="252"/>
        <v>-17618.40899</v>
      </c>
      <c r="G276" s="140">
        <f t="shared" si="252"/>
        <v>9551.648035</v>
      </c>
      <c r="H276" s="140">
        <f t="shared" si="252"/>
        <v>21162.7282</v>
      </c>
      <c r="I276" s="140">
        <f t="shared" si="252"/>
        <v>76954.46806</v>
      </c>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c r="BL276" s="93"/>
      <c r="BM276" s="93"/>
      <c r="BN276" s="93"/>
      <c r="BO276" s="93"/>
      <c r="BP276" s="93"/>
      <c r="BQ276" s="93"/>
      <c r="BR276" s="93"/>
      <c r="BS276" s="119"/>
    </row>
    <row r="277" ht="15.75" customHeight="1">
      <c r="A277" s="80"/>
      <c r="B277" s="119"/>
      <c r="C277" s="119"/>
      <c r="D277" s="119"/>
      <c r="E277" s="119"/>
      <c r="F277" s="119"/>
      <c r="G277" s="119"/>
      <c r="H277" s="119"/>
      <c r="I277" s="119"/>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c r="BL277" s="93"/>
      <c r="BM277" s="93"/>
      <c r="BN277" s="93"/>
      <c r="BO277" s="93"/>
      <c r="BP277" s="93"/>
      <c r="BQ277" s="93"/>
      <c r="BR277" s="93"/>
      <c r="BS277" s="119"/>
    </row>
    <row r="278" ht="15.75" customHeight="1">
      <c r="A278" s="80"/>
      <c r="B278" s="141" t="s">
        <v>380</v>
      </c>
      <c r="C278" s="142"/>
      <c r="D278" s="143"/>
      <c r="E278" s="144">
        <f>E276</f>
        <v>-333684.9225</v>
      </c>
      <c r="F278" s="144">
        <f t="shared" ref="F278:I278" si="253">E278+F276</f>
        <v>-351303.3315</v>
      </c>
      <c r="G278" s="144">
        <f t="shared" si="253"/>
        <v>-341751.6835</v>
      </c>
      <c r="H278" s="144">
        <f t="shared" si="253"/>
        <v>-320588.9553</v>
      </c>
      <c r="I278" s="144">
        <f t="shared" si="253"/>
        <v>-243634.4872</v>
      </c>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2"/>
      <c r="AR278" s="92"/>
      <c r="AS278" s="92"/>
      <c r="AT278" s="92"/>
      <c r="AU278" s="92"/>
      <c r="AV278" s="92"/>
      <c r="AW278" s="92"/>
      <c r="AX278" s="92"/>
      <c r="AY278" s="92"/>
      <c r="AZ278" s="92"/>
      <c r="BA278" s="92"/>
      <c r="BB278" s="92"/>
      <c r="BC278" s="92"/>
      <c r="BD278" s="92"/>
      <c r="BE278" s="92"/>
      <c r="BF278" s="92"/>
      <c r="BG278" s="92"/>
      <c r="BH278" s="92"/>
      <c r="BI278" s="92"/>
      <c r="BJ278" s="92"/>
      <c r="BK278" s="92"/>
      <c r="BL278" s="92"/>
      <c r="BM278" s="92"/>
      <c r="BN278" s="92"/>
      <c r="BO278" s="92"/>
      <c r="BP278" s="92"/>
      <c r="BQ278" s="92"/>
      <c r="BR278" s="92"/>
      <c r="BS278" s="92"/>
    </row>
    <row r="279" ht="15.75" customHeight="1">
      <c r="A279" s="80"/>
      <c r="B279" s="122"/>
      <c r="C279" s="92"/>
      <c r="D279" s="85"/>
      <c r="E279" s="119"/>
      <c r="F279" s="119"/>
      <c r="G279" s="119"/>
      <c r="H279" s="119"/>
      <c r="I279" s="119"/>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3"/>
      <c r="BG279" s="93"/>
      <c r="BH279" s="93"/>
      <c r="BI279" s="93"/>
      <c r="BJ279" s="93"/>
      <c r="BK279" s="93"/>
      <c r="BL279" s="93"/>
      <c r="BM279" s="93"/>
      <c r="BN279" s="93"/>
      <c r="BO279" s="93"/>
      <c r="BP279" s="93"/>
      <c r="BQ279" s="93"/>
      <c r="BR279" s="93"/>
      <c r="BS279" s="119"/>
    </row>
    <row r="280" ht="15.75" customHeight="1">
      <c r="A280" s="80"/>
      <c r="B280" s="145" t="s">
        <v>381</v>
      </c>
      <c r="C280" s="146"/>
      <c r="D280" s="147"/>
      <c r="E280" s="148" t="str">
        <f t="shared" ref="E280:I280" si="254">IF(E278&gt;0,E12," ")</f>
        <v> </v>
      </c>
      <c r="F280" s="148" t="str">
        <f t="shared" si="254"/>
        <v> </v>
      </c>
      <c r="G280" s="148" t="str">
        <f t="shared" si="254"/>
        <v> </v>
      </c>
      <c r="H280" s="148" t="str">
        <f t="shared" si="254"/>
        <v> </v>
      </c>
      <c r="I280" s="148" t="str">
        <f t="shared" si="254"/>
        <v> </v>
      </c>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c r="BL280" s="93"/>
      <c r="BM280" s="93"/>
      <c r="BN280" s="93"/>
      <c r="BO280" s="93"/>
      <c r="BP280" s="93"/>
      <c r="BQ280" s="93"/>
      <c r="BR280" s="93"/>
      <c r="BS280" s="119"/>
    </row>
    <row r="281" ht="15.75" customHeight="1">
      <c r="A281" s="80"/>
      <c r="B281" s="122"/>
      <c r="C281" s="92"/>
      <c r="D281" s="85"/>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c r="BL281" s="93"/>
      <c r="BM281" s="93"/>
      <c r="BN281" s="93"/>
      <c r="BO281" s="93"/>
      <c r="BP281" s="93"/>
      <c r="BQ281" s="93"/>
      <c r="BR281" s="93"/>
      <c r="BS281" s="119"/>
    </row>
    <row r="282" ht="15.75" customHeight="1">
      <c r="A282" s="80"/>
      <c r="B282" s="136" t="s">
        <v>382</v>
      </c>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5"/>
      <c r="BS282" s="282"/>
    </row>
    <row r="283" ht="13.5" customHeight="1">
      <c r="A283" s="80"/>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row>
    <row r="284" ht="13.5" customHeight="1">
      <c r="A284" s="80"/>
      <c r="B284" s="333" t="s">
        <v>383</v>
      </c>
      <c r="C284" s="334"/>
      <c r="D284" s="334"/>
      <c r="E284" s="334"/>
      <c r="F284" s="334"/>
      <c r="G284" s="334"/>
      <c r="H284" s="334"/>
      <c r="I284" s="334"/>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row>
    <row r="285" ht="13.5" customHeight="1">
      <c r="A285" s="80"/>
      <c r="B285" s="108" t="s">
        <v>384</v>
      </c>
      <c r="C285" s="335"/>
      <c r="D285" s="336"/>
      <c r="E285" s="337">
        <f>Model!E$139</f>
        <v>59850</v>
      </c>
      <c r="F285" s="337">
        <f>Model!F$139</f>
        <v>0</v>
      </c>
      <c r="G285" s="337">
        <f>Model!G$139</f>
        <v>0</v>
      </c>
      <c r="H285" s="337">
        <f>Model!H$139</f>
        <v>0</v>
      </c>
      <c r="I285" s="337">
        <f>Model!I$139</f>
        <v>0</v>
      </c>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row>
    <row r="286" ht="13.5" customHeight="1">
      <c r="A286" s="80"/>
      <c r="B286" s="108" t="s">
        <v>256</v>
      </c>
      <c r="C286" s="335"/>
      <c r="D286" s="336"/>
      <c r="E286" s="337">
        <f>Model!E136</f>
        <v>239400</v>
      </c>
      <c r="F286" s="337">
        <f>Model!F136</f>
        <v>0</v>
      </c>
      <c r="G286" s="337">
        <f>Model!G136</f>
        <v>0</v>
      </c>
      <c r="H286" s="337">
        <f>Model!H136</f>
        <v>0</v>
      </c>
      <c r="I286" s="337">
        <f>Model!I136</f>
        <v>0</v>
      </c>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row>
    <row r="287" ht="15.75" customHeight="1">
      <c r="A287" s="80"/>
      <c r="B287" s="141" t="s">
        <v>257</v>
      </c>
      <c r="C287" s="142"/>
      <c r="D287" s="143"/>
      <c r="E287" s="144">
        <f t="shared" ref="E287:I287" si="255">SUM(E285:E286)</f>
        <v>299250</v>
      </c>
      <c r="F287" s="144">
        <f t="shared" si="255"/>
        <v>0</v>
      </c>
      <c r="G287" s="144">
        <f t="shared" si="255"/>
        <v>0</v>
      </c>
      <c r="H287" s="144">
        <f t="shared" si="255"/>
        <v>0</v>
      </c>
      <c r="I287" s="144">
        <f t="shared" si="255"/>
        <v>0</v>
      </c>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c r="AX287" s="92"/>
      <c r="AY287" s="92"/>
      <c r="AZ287" s="92"/>
      <c r="BA287" s="92"/>
      <c r="BB287" s="92"/>
      <c r="BC287" s="92"/>
      <c r="BD287" s="92"/>
      <c r="BE287" s="92"/>
      <c r="BF287" s="92"/>
      <c r="BG287" s="92"/>
      <c r="BH287" s="92"/>
      <c r="BI287" s="92"/>
      <c r="BJ287" s="92"/>
      <c r="BK287" s="92"/>
      <c r="BL287" s="92"/>
      <c r="BM287" s="92"/>
      <c r="BN287" s="92"/>
      <c r="BO287" s="92"/>
      <c r="BP287" s="92"/>
      <c r="BQ287" s="92"/>
      <c r="BR287" s="92"/>
      <c r="BS287" s="92"/>
    </row>
    <row r="288" ht="13.5" customHeight="1">
      <c r="A288" s="80"/>
      <c r="B288" s="333" t="s">
        <v>385</v>
      </c>
      <c r="C288" s="334"/>
      <c r="D288" s="334"/>
      <c r="E288" s="334"/>
      <c r="F288" s="334"/>
      <c r="G288" s="334"/>
      <c r="H288" s="334"/>
      <c r="I288" s="334"/>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row>
    <row r="289" ht="13.5" customHeight="1">
      <c r="A289" s="80"/>
      <c r="B289" s="338" t="s">
        <v>386</v>
      </c>
      <c r="C289" s="335"/>
      <c r="D289" s="336"/>
      <c r="E289" s="337">
        <f>'Input Assumptions'!E38</f>
        <v>55000</v>
      </c>
      <c r="F289" s="337">
        <f>'Input Assumptions'!F38</f>
        <v>0</v>
      </c>
      <c r="G289" s="337">
        <f>'Input Assumptions'!G38</f>
        <v>0</v>
      </c>
      <c r="H289" s="337">
        <f>'Input Assumptions'!H38</f>
        <v>0</v>
      </c>
      <c r="I289" s="337">
        <f>'Input Assumptions'!I38</f>
        <v>0</v>
      </c>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row>
    <row r="290" ht="15.75" customHeight="1">
      <c r="A290" s="80"/>
      <c r="B290" s="141" t="s">
        <v>258</v>
      </c>
      <c r="C290" s="142"/>
      <c r="D290" s="143"/>
      <c r="E290" s="144">
        <f t="shared" ref="E290:I290" si="256">SUM(E289)</f>
        <v>55000</v>
      </c>
      <c r="F290" s="144">
        <f t="shared" si="256"/>
        <v>0</v>
      </c>
      <c r="G290" s="144">
        <f t="shared" si="256"/>
        <v>0</v>
      </c>
      <c r="H290" s="144">
        <f t="shared" si="256"/>
        <v>0</v>
      </c>
      <c r="I290" s="144">
        <f t="shared" si="256"/>
        <v>0</v>
      </c>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c r="AY290" s="92"/>
      <c r="AZ290" s="92"/>
      <c r="BA290" s="92"/>
      <c r="BB290" s="92"/>
      <c r="BC290" s="92"/>
      <c r="BD290" s="92"/>
      <c r="BE290" s="92"/>
      <c r="BF290" s="92"/>
      <c r="BG290" s="92"/>
      <c r="BH290" s="92"/>
      <c r="BI290" s="92"/>
      <c r="BJ290" s="92"/>
      <c r="BK290" s="92"/>
      <c r="BL290" s="92"/>
      <c r="BM290" s="92"/>
      <c r="BN290" s="92"/>
      <c r="BO290" s="92"/>
      <c r="BP290" s="92"/>
      <c r="BQ290" s="92"/>
      <c r="BR290" s="92"/>
      <c r="BS290" s="92"/>
    </row>
    <row r="291" ht="13.5" customHeight="1">
      <c r="A291" s="80"/>
      <c r="B291" s="335"/>
      <c r="C291" s="335"/>
      <c r="D291" s="335"/>
      <c r="E291" s="334"/>
      <c r="F291" s="334"/>
      <c r="G291" s="334"/>
      <c r="H291" s="334"/>
      <c r="I291" s="334"/>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row>
    <row r="292" ht="15.75" customHeight="1">
      <c r="A292" s="80"/>
      <c r="B292" s="146" t="s">
        <v>324</v>
      </c>
      <c r="C292" s="339"/>
      <c r="D292" s="147"/>
      <c r="E292" s="340">
        <f>Model!E$115</f>
        <v>-100859.9225</v>
      </c>
      <c r="F292" s="340">
        <f>Model!F$115</f>
        <v>-118478.3315</v>
      </c>
      <c r="G292" s="340">
        <f>Model!G$115</f>
        <v>-108926.6835</v>
      </c>
      <c r="H292" s="340">
        <f>Model!H$115</f>
        <v>-87763.9553</v>
      </c>
      <c r="I292" s="340">
        <f>Model!I$115</f>
        <v>-10809.48724</v>
      </c>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c r="AY292" s="92"/>
      <c r="AZ292" s="92"/>
      <c r="BA292" s="92"/>
      <c r="BB292" s="92"/>
      <c r="BC292" s="92"/>
      <c r="BD292" s="92"/>
      <c r="BE292" s="92"/>
      <c r="BF292" s="92"/>
      <c r="BG292" s="92"/>
      <c r="BH292" s="92"/>
      <c r="BI292" s="92"/>
      <c r="BJ292" s="92"/>
      <c r="BK292" s="92"/>
      <c r="BL292" s="92"/>
      <c r="BM292" s="92"/>
      <c r="BN292" s="92"/>
      <c r="BO292" s="92"/>
      <c r="BP292" s="92"/>
      <c r="BQ292" s="92"/>
      <c r="BR292" s="92"/>
      <c r="BS292" s="92"/>
    </row>
    <row r="293" ht="13.5" customHeight="1">
      <c r="A293" s="80"/>
      <c r="B293" s="92"/>
      <c r="C293" s="92"/>
      <c r="D293" s="92"/>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row>
    <row r="294" ht="13.5" customHeight="1">
      <c r="A294" s="80"/>
      <c r="B294" s="2" t="s">
        <v>260</v>
      </c>
      <c r="C294" s="2"/>
      <c r="D294" s="2"/>
      <c r="E294" s="175">
        <f>SUM(E287,E290,E292)</f>
        <v>253390.0775</v>
      </c>
      <c r="F294" s="175">
        <f t="shared" ref="F294:I294" si="257">SUM(F287,F290,F292)+E294</f>
        <v>134911.7459</v>
      </c>
      <c r="G294" s="175">
        <f t="shared" si="257"/>
        <v>25985.06241</v>
      </c>
      <c r="H294" s="175">
        <f t="shared" si="257"/>
        <v>-61778.89289</v>
      </c>
      <c r="I294" s="175">
        <f t="shared" si="257"/>
        <v>-72588.38013</v>
      </c>
      <c r="J294" s="341"/>
      <c r="K294" s="341"/>
      <c r="L294" s="341"/>
      <c r="M294" s="341"/>
      <c r="N294" s="341"/>
      <c r="O294" s="341"/>
      <c r="P294" s="341"/>
      <c r="Q294" s="341"/>
      <c r="R294" s="341"/>
      <c r="S294" s="341"/>
      <c r="T294" s="341"/>
      <c r="U294" s="341"/>
      <c r="V294" s="341"/>
      <c r="W294" s="341"/>
      <c r="X294" s="341"/>
      <c r="Y294" s="341"/>
      <c r="Z294" s="341"/>
      <c r="AA294" s="341"/>
      <c r="AB294" s="341"/>
      <c r="AC294" s="341"/>
      <c r="AD294" s="341"/>
      <c r="AE294" s="341"/>
      <c r="AF294" s="341"/>
      <c r="AG294" s="341"/>
      <c r="AH294" s="341"/>
      <c r="AI294" s="341"/>
      <c r="AJ294" s="341"/>
      <c r="AK294" s="341"/>
      <c r="AL294" s="341"/>
      <c r="AM294" s="341"/>
      <c r="AN294" s="341"/>
      <c r="AO294" s="341"/>
      <c r="AP294" s="341"/>
      <c r="AQ294" s="341"/>
      <c r="AR294" s="341"/>
      <c r="AS294" s="341"/>
      <c r="AT294" s="341"/>
      <c r="AU294" s="341"/>
      <c r="AV294" s="341"/>
      <c r="AW294" s="341"/>
      <c r="AX294" s="341"/>
      <c r="AY294" s="341"/>
      <c r="AZ294" s="341"/>
      <c r="BA294" s="341"/>
      <c r="BB294" s="341"/>
      <c r="BC294" s="341"/>
      <c r="BD294" s="341"/>
      <c r="BE294" s="341"/>
      <c r="BF294" s="341"/>
      <c r="BG294" s="341"/>
      <c r="BH294" s="341"/>
      <c r="BI294" s="341"/>
      <c r="BJ294" s="341"/>
      <c r="BK294" s="341"/>
      <c r="BL294" s="341"/>
      <c r="BM294" s="341"/>
      <c r="BN294" s="341"/>
      <c r="BO294" s="341"/>
      <c r="BP294" s="341"/>
      <c r="BQ294" s="341"/>
      <c r="BR294" s="341"/>
      <c r="BS294" s="341"/>
    </row>
    <row r="295" ht="13.5" customHeight="1">
      <c r="A295" s="80"/>
      <c r="E295" s="170"/>
      <c r="F295" s="170"/>
      <c r="G295" s="170"/>
      <c r="H295" s="170"/>
      <c r="I295" s="170"/>
      <c r="J295" s="341"/>
      <c r="K295" s="341"/>
      <c r="L295" s="341"/>
      <c r="M295" s="341"/>
      <c r="N295" s="341"/>
      <c r="O295" s="341"/>
      <c r="P295" s="341"/>
      <c r="Q295" s="341"/>
      <c r="R295" s="341"/>
      <c r="S295" s="341"/>
      <c r="T295" s="341"/>
      <c r="U295" s="341"/>
      <c r="V295" s="341"/>
      <c r="W295" s="341"/>
      <c r="X295" s="341"/>
      <c r="Y295" s="341"/>
      <c r="Z295" s="341"/>
      <c r="AA295" s="341"/>
      <c r="AB295" s="341"/>
      <c r="AC295" s="341"/>
      <c r="AD295" s="341"/>
      <c r="AE295" s="341"/>
      <c r="AF295" s="341"/>
      <c r="AG295" s="341"/>
      <c r="AH295" s="341"/>
      <c r="AI295" s="341"/>
      <c r="AJ295" s="341"/>
      <c r="AK295" s="341"/>
      <c r="AL295" s="341"/>
      <c r="AM295" s="341"/>
      <c r="AN295" s="341"/>
      <c r="AO295" s="341"/>
      <c r="AP295" s="341"/>
      <c r="AQ295" s="341"/>
      <c r="AR295" s="341"/>
      <c r="AS295" s="341"/>
      <c r="AT295" s="341"/>
      <c r="AU295" s="341"/>
      <c r="AV295" s="341"/>
      <c r="AW295" s="341"/>
      <c r="AX295" s="341"/>
      <c r="AY295" s="341"/>
      <c r="AZ295" s="341"/>
      <c r="BA295" s="341"/>
      <c r="BB295" s="341"/>
      <c r="BC295" s="341"/>
      <c r="BD295" s="341"/>
      <c r="BE295" s="341"/>
      <c r="BF295" s="341"/>
      <c r="BG295" s="341"/>
      <c r="BH295" s="341"/>
      <c r="BI295" s="341"/>
      <c r="BJ295" s="341"/>
      <c r="BK295" s="341"/>
      <c r="BL295" s="341"/>
      <c r="BM295" s="341"/>
      <c r="BN295" s="341"/>
      <c r="BO295" s="341"/>
      <c r="BP295" s="341"/>
      <c r="BQ295" s="341"/>
      <c r="BR295" s="341"/>
      <c r="BS295" s="341"/>
    </row>
    <row r="296" ht="13.5" customHeight="1">
      <c r="A296" s="80"/>
      <c r="B296" s="5" t="s">
        <v>261</v>
      </c>
      <c r="C296" s="5"/>
      <c r="D296" s="5"/>
      <c r="E296" s="250">
        <f>Model!E$78</f>
        <v>-100859.9225</v>
      </c>
      <c r="F296" s="250">
        <f>Model!F$78</f>
        <v>-17618.40899</v>
      </c>
      <c r="G296" s="250">
        <f>Model!G$78</f>
        <v>9551.648035</v>
      </c>
      <c r="H296" s="250">
        <f>Model!H$78</f>
        <v>21162.7282</v>
      </c>
      <c r="I296" s="250">
        <f>Model!I$78</f>
        <v>76954.46806</v>
      </c>
      <c r="J296" s="341"/>
      <c r="K296" s="341"/>
      <c r="L296" s="341"/>
      <c r="M296" s="341"/>
      <c r="N296" s="341"/>
      <c r="O296" s="341"/>
      <c r="P296" s="341"/>
      <c r="Q296" s="341"/>
      <c r="R296" s="341"/>
      <c r="S296" s="341"/>
      <c r="T296" s="341"/>
      <c r="U296" s="341"/>
      <c r="V296" s="341"/>
      <c r="W296" s="341"/>
      <c r="X296" s="341"/>
      <c r="Y296" s="341"/>
      <c r="Z296" s="341"/>
      <c r="AA296" s="341"/>
      <c r="AB296" s="341"/>
      <c r="AC296" s="341"/>
      <c r="AD296" s="341"/>
      <c r="AE296" s="341"/>
      <c r="AF296" s="341"/>
      <c r="AG296" s="341"/>
      <c r="AH296" s="341"/>
      <c r="AI296" s="341"/>
      <c r="AJ296" s="341"/>
      <c r="AK296" s="341"/>
      <c r="AL296" s="341"/>
      <c r="AM296" s="341"/>
      <c r="AN296" s="341"/>
      <c r="AO296" s="341"/>
      <c r="AP296" s="341"/>
      <c r="AQ296" s="341"/>
      <c r="AR296" s="341"/>
      <c r="AS296" s="341"/>
      <c r="AT296" s="341"/>
      <c r="AU296" s="341"/>
      <c r="AV296" s="341"/>
      <c r="AW296" s="341"/>
      <c r="AX296" s="341"/>
      <c r="AY296" s="341"/>
      <c r="AZ296" s="341"/>
      <c r="BA296" s="341"/>
      <c r="BB296" s="341"/>
      <c r="BC296" s="341"/>
      <c r="BD296" s="341"/>
      <c r="BE296" s="341"/>
      <c r="BF296" s="341"/>
      <c r="BG296" s="341"/>
      <c r="BH296" s="341"/>
      <c r="BI296" s="341"/>
      <c r="BJ296" s="341"/>
      <c r="BK296" s="341"/>
      <c r="BL296" s="341"/>
      <c r="BM296" s="341"/>
      <c r="BN296" s="341"/>
      <c r="BO296" s="341"/>
      <c r="BP296" s="341"/>
      <c r="BQ296" s="341"/>
      <c r="BR296" s="341"/>
      <c r="BS296" s="341"/>
    </row>
    <row r="297" ht="13.5" customHeight="1">
      <c r="A297" s="80"/>
      <c r="B297" s="4" t="s">
        <v>378</v>
      </c>
      <c r="C297" s="5"/>
      <c r="D297" s="5"/>
      <c r="E297" s="250">
        <f t="shared" ref="E297:I297" si="258">E296-E290</f>
        <v>-155859.9225</v>
      </c>
      <c r="F297" s="250">
        <f t="shared" si="258"/>
        <v>-17618.40899</v>
      </c>
      <c r="G297" s="250">
        <f t="shared" si="258"/>
        <v>9551.648035</v>
      </c>
      <c r="H297" s="250">
        <f t="shared" si="258"/>
        <v>21162.7282</v>
      </c>
      <c r="I297" s="250">
        <f t="shared" si="258"/>
        <v>76954.46806</v>
      </c>
      <c r="J297" s="341"/>
      <c r="K297" s="341"/>
      <c r="L297" s="341"/>
      <c r="M297" s="341"/>
      <c r="N297" s="341"/>
      <c r="O297" s="341"/>
      <c r="P297" s="341"/>
      <c r="Q297" s="341"/>
      <c r="R297" s="341"/>
      <c r="S297" s="341"/>
      <c r="T297" s="341"/>
      <c r="U297" s="341"/>
      <c r="V297" s="341"/>
      <c r="W297" s="341"/>
      <c r="X297" s="341"/>
      <c r="Y297" s="341"/>
      <c r="Z297" s="341"/>
      <c r="AA297" s="341"/>
      <c r="AB297" s="341"/>
      <c r="AC297" s="341"/>
      <c r="AD297" s="341"/>
      <c r="AE297" s="341"/>
      <c r="AF297" s="341"/>
      <c r="AG297" s="341"/>
      <c r="AH297" s="341"/>
      <c r="AI297" s="341"/>
      <c r="AJ297" s="341"/>
      <c r="AK297" s="341"/>
      <c r="AL297" s="341"/>
      <c r="AM297" s="341"/>
      <c r="AN297" s="341"/>
      <c r="AO297" s="341"/>
      <c r="AP297" s="341"/>
      <c r="AQ297" s="341"/>
      <c r="AR297" s="341"/>
      <c r="AS297" s="341"/>
      <c r="AT297" s="341"/>
      <c r="AU297" s="341"/>
      <c r="AV297" s="341"/>
      <c r="AW297" s="341"/>
      <c r="AX297" s="341"/>
      <c r="AY297" s="341"/>
      <c r="AZ297" s="341"/>
      <c r="BA297" s="341"/>
      <c r="BB297" s="341"/>
      <c r="BC297" s="341"/>
      <c r="BD297" s="341"/>
      <c r="BE297" s="341"/>
      <c r="BF297" s="341"/>
      <c r="BG297" s="341"/>
      <c r="BH297" s="341"/>
      <c r="BI297" s="341"/>
      <c r="BJ297" s="341"/>
      <c r="BK297" s="341"/>
      <c r="BL297" s="341"/>
      <c r="BM297" s="341"/>
      <c r="BN297" s="341"/>
      <c r="BO297" s="341"/>
      <c r="BP297" s="341"/>
      <c r="BQ297" s="341"/>
      <c r="BR297" s="341"/>
      <c r="BS297" s="341"/>
    </row>
    <row r="298" ht="13.5" customHeight="1">
      <c r="A298" s="80"/>
      <c r="B298" s="5" t="s">
        <v>263</v>
      </c>
      <c r="C298" s="5"/>
      <c r="D298" s="5"/>
      <c r="E298" s="253">
        <f>Corp_Tax</f>
        <v>0.21</v>
      </c>
      <c r="F298" s="253">
        <f>Corp_Tax</f>
        <v>0.21</v>
      </c>
      <c r="G298" s="253">
        <f>Corp_Tax</f>
        <v>0.21</v>
      </c>
      <c r="H298" s="253">
        <f>Corp_Tax</f>
        <v>0.21</v>
      </c>
      <c r="I298" s="253">
        <f>Corp_Tax</f>
        <v>0.21</v>
      </c>
      <c r="J298" s="341"/>
      <c r="K298" s="341"/>
      <c r="L298" s="341"/>
      <c r="M298" s="341"/>
      <c r="N298" s="341"/>
      <c r="O298" s="341"/>
      <c r="P298" s="341"/>
      <c r="Q298" s="341"/>
      <c r="R298" s="341"/>
      <c r="S298" s="341"/>
      <c r="T298" s="341"/>
      <c r="U298" s="341"/>
      <c r="V298" s="341"/>
      <c r="W298" s="341"/>
      <c r="X298" s="341"/>
      <c r="Y298" s="341"/>
      <c r="Z298" s="341"/>
      <c r="AA298" s="341"/>
      <c r="AB298" s="341"/>
      <c r="AC298" s="341"/>
      <c r="AD298" s="341"/>
      <c r="AE298" s="341"/>
      <c r="AF298" s="341"/>
      <c r="AG298" s="341"/>
      <c r="AH298" s="341"/>
      <c r="AI298" s="341"/>
      <c r="AJ298" s="341"/>
      <c r="AK298" s="341"/>
      <c r="AL298" s="341"/>
      <c r="AM298" s="341"/>
      <c r="AN298" s="341"/>
      <c r="AO298" s="341"/>
      <c r="AP298" s="341"/>
      <c r="AQ298" s="341"/>
      <c r="AR298" s="341"/>
      <c r="AS298" s="341"/>
      <c r="AT298" s="341"/>
      <c r="AU298" s="341"/>
      <c r="AV298" s="341"/>
      <c r="AW298" s="341"/>
      <c r="AX298" s="341"/>
      <c r="AY298" s="341"/>
      <c r="AZ298" s="341"/>
      <c r="BA298" s="341"/>
      <c r="BB298" s="341"/>
      <c r="BC298" s="341"/>
      <c r="BD298" s="341"/>
      <c r="BE298" s="341"/>
      <c r="BF298" s="341"/>
      <c r="BG298" s="341"/>
      <c r="BH298" s="341"/>
      <c r="BI298" s="341"/>
      <c r="BJ298" s="341"/>
      <c r="BK298" s="341"/>
      <c r="BL298" s="341"/>
      <c r="BM298" s="341"/>
      <c r="BN298" s="341"/>
      <c r="BO298" s="341"/>
      <c r="BP298" s="341"/>
      <c r="BQ298" s="341"/>
      <c r="BR298" s="341"/>
      <c r="BS298" s="341"/>
    </row>
    <row r="299" ht="13.5" customHeight="1">
      <c r="A299" s="80"/>
      <c r="B299" s="35" t="s">
        <v>264</v>
      </c>
      <c r="C299" s="35"/>
      <c r="D299" s="35"/>
      <c r="E299" s="182">
        <f t="shared" ref="E299:I299" si="259">E296*E298</f>
        <v>-21180.58373</v>
      </c>
      <c r="F299" s="182">
        <f t="shared" si="259"/>
        <v>-3699.865888</v>
      </c>
      <c r="G299" s="182">
        <f t="shared" si="259"/>
        <v>2005.846087</v>
      </c>
      <c r="H299" s="182">
        <f t="shared" si="259"/>
        <v>4444.172923</v>
      </c>
      <c r="I299" s="182">
        <f t="shared" si="259"/>
        <v>16160.43829</v>
      </c>
      <c r="J299" s="341"/>
      <c r="K299" s="341"/>
      <c r="L299" s="341"/>
      <c r="M299" s="341"/>
      <c r="N299" s="341"/>
      <c r="O299" s="341"/>
      <c r="P299" s="341"/>
      <c r="Q299" s="341"/>
      <c r="R299" s="341"/>
      <c r="S299" s="341"/>
      <c r="T299" s="341"/>
      <c r="U299" s="341"/>
      <c r="V299" s="341"/>
      <c r="W299" s="341"/>
      <c r="X299" s="341"/>
      <c r="Y299" s="341"/>
      <c r="Z299" s="341"/>
      <c r="AA299" s="341"/>
      <c r="AB299" s="341"/>
      <c r="AC299" s="341"/>
      <c r="AD299" s="341"/>
      <c r="AE299" s="341"/>
      <c r="AF299" s="341"/>
      <c r="AG299" s="341"/>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c r="BC299" s="341"/>
      <c r="BD299" s="341"/>
      <c r="BE299" s="341"/>
      <c r="BF299" s="341"/>
      <c r="BG299" s="341"/>
      <c r="BH299" s="341"/>
      <c r="BI299" s="341"/>
      <c r="BJ299" s="341"/>
      <c r="BK299" s="341"/>
      <c r="BL299" s="341"/>
      <c r="BM299" s="341"/>
      <c r="BN299" s="341"/>
      <c r="BO299" s="341"/>
      <c r="BP299" s="341"/>
      <c r="BQ299" s="341"/>
      <c r="BR299" s="341"/>
      <c r="BS299" s="341"/>
    </row>
    <row r="300" ht="13.5" customHeight="1">
      <c r="A300" s="80"/>
      <c r="B300" s="2" t="s">
        <v>265</v>
      </c>
      <c r="C300" s="2"/>
      <c r="D300" s="2"/>
      <c r="E300" s="175">
        <f t="shared" ref="E300:I300" si="260">E296-E299</f>
        <v>-79679.33881</v>
      </c>
      <c r="F300" s="175">
        <f t="shared" si="260"/>
        <v>-13918.5431</v>
      </c>
      <c r="G300" s="175">
        <f t="shared" si="260"/>
        <v>7545.801948</v>
      </c>
      <c r="H300" s="175">
        <f t="shared" si="260"/>
        <v>16718.55528</v>
      </c>
      <c r="I300" s="175">
        <f t="shared" si="260"/>
        <v>60794.02977</v>
      </c>
      <c r="J300" s="341"/>
      <c r="K300" s="341"/>
      <c r="L300" s="341"/>
      <c r="M300" s="341"/>
      <c r="N300" s="341"/>
      <c r="O300" s="341"/>
      <c r="P300" s="341"/>
      <c r="Q300" s="341"/>
      <c r="R300" s="341"/>
      <c r="S300" s="341"/>
      <c r="T300" s="341"/>
      <c r="U300" s="341"/>
      <c r="V300" s="341"/>
      <c r="W300" s="341"/>
      <c r="X300" s="341"/>
      <c r="Y300" s="341"/>
      <c r="Z300" s="341"/>
      <c r="AA300" s="341"/>
      <c r="AB300" s="341"/>
      <c r="AC300" s="341"/>
      <c r="AD300" s="341"/>
      <c r="AE300" s="341"/>
      <c r="AF300" s="341"/>
      <c r="AG300" s="341"/>
      <c r="AH300" s="341"/>
      <c r="AI300" s="341"/>
      <c r="AJ300" s="341"/>
      <c r="AK300" s="341"/>
      <c r="AL300" s="341"/>
      <c r="AM300" s="341"/>
      <c r="AN300" s="341"/>
      <c r="AO300" s="341"/>
      <c r="AP300" s="341"/>
      <c r="AQ300" s="341"/>
      <c r="AR300" s="341"/>
      <c r="AS300" s="341"/>
      <c r="AT300" s="341"/>
      <c r="AU300" s="341"/>
      <c r="AV300" s="341"/>
      <c r="AW300" s="341"/>
      <c r="AX300" s="341"/>
      <c r="AY300" s="341"/>
      <c r="AZ300" s="341"/>
      <c r="BA300" s="341"/>
      <c r="BB300" s="341"/>
      <c r="BC300" s="341"/>
      <c r="BD300" s="341"/>
      <c r="BE300" s="341"/>
      <c r="BF300" s="341"/>
      <c r="BG300" s="341"/>
      <c r="BH300" s="341"/>
      <c r="BI300" s="341"/>
      <c r="BJ300" s="341"/>
      <c r="BK300" s="341"/>
      <c r="BL300" s="341"/>
      <c r="BM300" s="341"/>
      <c r="BN300" s="341"/>
      <c r="BO300" s="341"/>
      <c r="BP300" s="341"/>
      <c r="BQ300" s="341"/>
      <c r="BR300" s="341"/>
      <c r="BS300" s="341"/>
    </row>
    <row r="301" ht="13.5" customHeight="1">
      <c r="A301" s="80"/>
      <c r="J301" s="341"/>
      <c r="K301" s="341"/>
      <c r="L301" s="341"/>
      <c r="M301" s="341"/>
      <c r="N301" s="341"/>
      <c r="O301" s="341"/>
      <c r="P301" s="341"/>
      <c r="Q301" s="341"/>
      <c r="R301" s="341"/>
      <c r="S301" s="341"/>
      <c r="T301" s="341"/>
      <c r="U301" s="341"/>
      <c r="V301" s="341"/>
      <c r="W301" s="341"/>
      <c r="X301" s="341"/>
      <c r="Y301" s="341"/>
      <c r="Z301" s="341"/>
      <c r="AA301" s="341"/>
      <c r="AB301" s="341"/>
      <c r="AC301" s="341"/>
      <c r="AD301" s="341"/>
      <c r="AE301" s="341"/>
      <c r="AF301" s="341"/>
      <c r="AG301" s="341"/>
      <c r="AH301" s="341"/>
      <c r="AI301" s="341"/>
      <c r="AJ301" s="341"/>
      <c r="AK301" s="341"/>
      <c r="AL301" s="341"/>
      <c r="AM301" s="341"/>
      <c r="AN301" s="341"/>
      <c r="AO301" s="341"/>
      <c r="AP301" s="341"/>
      <c r="AQ301" s="341"/>
      <c r="AR301" s="341"/>
      <c r="AS301" s="341"/>
      <c r="AT301" s="341"/>
      <c r="AU301" s="341"/>
      <c r="AV301" s="341"/>
      <c r="AW301" s="341"/>
      <c r="AX301" s="341"/>
      <c r="AY301" s="341"/>
      <c r="AZ301" s="341"/>
      <c r="BA301" s="341"/>
      <c r="BB301" s="341"/>
      <c r="BC301" s="341"/>
      <c r="BD301" s="341"/>
      <c r="BE301" s="341"/>
      <c r="BF301" s="341"/>
      <c r="BG301" s="341"/>
      <c r="BH301" s="341"/>
      <c r="BI301" s="341"/>
      <c r="BJ301" s="341"/>
      <c r="BK301" s="341"/>
      <c r="BL301" s="341"/>
      <c r="BM301" s="341"/>
      <c r="BN301" s="341"/>
      <c r="BO301" s="341"/>
      <c r="BP301" s="341"/>
      <c r="BQ301" s="341"/>
      <c r="BR301" s="341"/>
      <c r="BS301" s="341"/>
    </row>
    <row r="302" ht="13.5" customHeight="1">
      <c r="A302" s="80"/>
      <c r="B302" s="342" t="s">
        <v>266</v>
      </c>
      <c r="C302" s="342"/>
      <c r="D302" s="343"/>
      <c r="E302" s="344">
        <f t="shared" ref="E302:I302" si="261">E297/E294</f>
        <v>-0.6150987604</v>
      </c>
      <c r="F302" s="344">
        <f t="shared" si="261"/>
        <v>-0.1305921058</v>
      </c>
      <c r="G302" s="344">
        <f t="shared" si="261"/>
        <v>0.3675822626</v>
      </c>
      <c r="H302" s="344">
        <f t="shared" si="261"/>
        <v>-0.3425559639</v>
      </c>
      <c r="I302" s="344">
        <f t="shared" si="261"/>
        <v>-1.060148579</v>
      </c>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row>
    <row r="303" ht="13.5" customHeight="1">
      <c r="A303" s="80"/>
      <c r="B303" s="92"/>
      <c r="C303" s="92"/>
      <c r="D303" s="92"/>
      <c r="E303" s="119"/>
      <c r="F303" s="119"/>
      <c r="G303" s="119"/>
      <c r="H303" s="119"/>
      <c r="I303" s="119"/>
      <c r="J303" s="119"/>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119"/>
    </row>
    <row r="304" ht="15.75" customHeight="1">
      <c r="A304" s="80"/>
      <c r="B304" s="136" t="s">
        <v>69</v>
      </c>
      <c r="C304" s="105"/>
      <c r="D304" s="105"/>
      <c r="E304" s="345">
        <v>1.0</v>
      </c>
      <c r="F304" s="345">
        <f t="shared" ref="F304:I304" si="262">E304+1</f>
        <v>2</v>
      </c>
      <c r="G304" s="345">
        <f t="shared" si="262"/>
        <v>3</v>
      </c>
      <c r="H304" s="345">
        <f t="shared" si="262"/>
        <v>4</v>
      </c>
      <c r="I304" s="345">
        <f t="shared" si="262"/>
        <v>5</v>
      </c>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5"/>
      <c r="BS304" s="282"/>
    </row>
    <row r="305" ht="15.75" customHeight="1">
      <c r="A305" s="80"/>
      <c r="B305" s="75"/>
      <c r="C305" s="326"/>
      <c r="D305" s="82"/>
      <c r="E305" s="346"/>
      <c r="F305" s="82"/>
      <c r="G305" s="82"/>
      <c r="H305" s="82"/>
      <c r="I305" s="82"/>
      <c r="J305" s="82"/>
      <c r="K305" s="82"/>
      <c r="L305" s="82"/>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c r="BD305" s="286"/>
      <c r="BE305" s="286"/>
      <c r="BF305" s="286"/>
      <c r="BG305" s="286"/>
      <c r="BH305" s="286"/>
      <c r="BI305" s="286"/>
      <c r="BJ305" s="286"/>
      <c r="BK305" s="286"/>
      <c r="BL305" s="286"/>
      <c r="BM305" s="286"/>
      <c r="BN305" s="286"/>
      <c r="BO305" s="286"/>
      <c r="BP305" s="286"/>
      <c r="BQ305" s="286"/>
      <c r="BR305" s="286"/>
      <c r="BS305" s="82"/>
    </row>
    <row r="306" ht="15.75" customHeight="1">
      <c r="A306" s="80"/>
      <c r="B306" s="108" t="s">
        <v>387</v>
      </c>
      <c r="E306" s="347">
        <f>EBITDA_Multiple</f>
        <v>5</v>
      </c>
      <c r="F306" s="82"/>
      <c r="G306" s="82"/>
      <c r="H306" s="82"/>
      <c r="I306" s="82"/>
      <c r="J306" s="82"/>
      <c r="K306" s="82"/>
      <c r="L306" s="82"/>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c r="BD306" s="286"/>
      <c r="BE306" s="286"/>
      <c r="BF306" s="286"/>
      <c r="BG306" s="286"/>
      <c r="BH306" s="286"/>
      <c r="BI306" s="286"/>
      <c r="BJ306" s="286"/>
      <c r="BK306" s="286"/>
      <c r="BL306" s="286"/>
      <c r="BM306" s="286"/>
      <c r="BN306" s="286"/>
      <c r="BO306" s="286"/>
      <c r="BP306" s="286"/>
      <c r="BQ306" s="286"/>
      <c r="BR306" s="286"/>
      <c r="BS306" s="82"/>
    </row>
    <row r="307" ht="13.5" customHeight="1">
      <c r="A307" s="80"/>
      <c r="B307" s="108" t="s">
        <v>76</v>
      </c>
      <c r="E307" s="264">
        <f>Model!E$26</f>
        <v>289602.7213</v>
      </c>
      <c r="F307" s="264">
        <f>Model!F$26</f>
        <v>511549.5228</v>
      </c>
      <c r="G307" s="264">
        <f>Model!G$26</f>
        <v>593591.9543</v>
      </c>
      <c r="H307" s="264">
        <f>Model!H$26</f>
        <v>648639.9653</v>
      </c>
      <c r="I307" s="264">
        <f>Model!I$26</f>
        <v>702476.7625</v>
      </c>
      <c r="J307" s="82"/>
      <c r="K307" s="82"/>
      <c r="L307" s="82"/>
      <c r="M307" s="123"/>
      <c r="N307" s="123"/>
      <c r="O307" s="123"/>
      <c r="P307" s="123"/>
      <c r="Q307" s="123"/>
      <c r="R307" s="123"/>
      <c r="S307" s="123"/>
      <c r="T307" s="123"/>
      <c r="U307" s="123"/>
      <c r="V307" s="123"/>
      <c r="W307" s="123"/>
      <c r="X307" s="123"/>
      <c r="Y307" s="123"/>
      <c r="Z307" s="123"/>
      <c r="AA307" s="123"/>
      <c r="AB307" s="123"/>
      <c r="AC307" s="123"/>
      <c r="AD307" s="123"/>
      <c r="AE307" s="123"/>
      <c r="AF307" s="123"/>
      <c r="AG307" s="123"/>
      <c r="AH307" s="123"/>
      <c r="AI307" s="123"/>
      <c r="AJ307" s="123"/>
      <c r="AK307" s="123"/>
      <c r="AL307" s="123"/>
      <c r="AM307" s="123"/>
      <c r="AN307" s="123"/>
      <c r="AO307" s="123"/>
      <c r="AP307" s="123"/>
      <c r="AQ307" s="123"/>
      <c r="AR307" s="123"/>
      <c r="AS307" s="123"/>
      <c r="AT307" s="123"/>
      <c r="AU307" s="123"/>
      <c r="AV307" s="123"/>
      <c r="AW307" s="123"/>
      <c r="AX307" s="123"/>
      <c r="AY307" s="123"/>
      <c r="AZ307" s="123"/>
      <c r="BA307" s="123"/>
      <c r="BB307" s="123"/>
      <c r="BC307" s="123"/>
      <c r="BD307" s="123"/>
      <c r="BE307" s="123"/>
      <c r="BF307" s="123"/>
      <c r="BG307" s="123"/>
      <c r="BH307" s="123"/>
      <c r="BI307" s="123"/>
      <c r="BJ307" s="123"/>
      <c r="BK307" s="123"/>
      <c r="BL307" s="123"/>
      <c r="BM307" s="123"/>
      <c r="BN307" s="123"/>
      <c r="BO307" s="123"/>
      <c r="BP307" s="123"/>
      <c r="BQ307" s="123"/>
      <c r="BR307" s="123"/>
      <c r="BS307" s="119"/>
    </row>
    <row r="308" ht="13.5" customHeight="1">
      <c r="A308" s="80"/>
      <c r="B308" s="108" t="s">
        <v>227</v>
      </c>
      <c r="E308" s="264">
        <f t="shared" ref="E308:I308" si="263">E123</f>
        <v>-100859.9225</v>
      </c>
      <c r="F308" s="264">
        <f t="shared" si="263"/>
        <v>-17618.40899</v>
      </c>
      <c r="G308" s="264">
        <f t="shared" si="263"/>
        <v>9551.648035</v>
      </c>
      <c r="H308" s="264">
        <f t="shared" si="263"/>
        <v>21162.7282</v>
      </c>
      <c r="I308" s="264">
        <f t="shared" si="263"/>
        <v>76954.46806</v>
      </c>
      <c r="J308" s="82"/>
      <c r="K308" s="82"/>
      <c r="L308" s="82"/>
      <c r="M308" s="123"/>
      <c r="N308" s="123"/>
      <c r="O308" s="123"/>
      <c r="P308" s="123"/>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3"/>
      <c r="AZ308" s="123"/>
      <c r="BA308" s="123"/>
      <c r="BB308" s="123"/>
      <c r="BC308" s="123"/>
      <c r="BD308" s="123"/>
      <c r="BE308" s="123"/>
      <c r="BF308" s="123"/>
      <c r="BG308" s="123"/>
      <c r="BH308" s="123"/>
      <c r="BI308" s="123"/>
      <c r="BJ308" s="123"/>
      <c r="BK308" s="123"/>
      <c r="BL308" s="123"/>
      <c r="BM308" s="123"/>
      <c r="BN308" s="123"/>
      <c r="BO308" s="123"/>
      <c r="BP308" s="123"/>
      <c r="BQ308" s="123"/>
      <c r="BR308" s="123"/>
      <c r="BS308" s="119"/>
    </row>
    <row r="309" ht="13.5" customHeight="1">
      <c r="A309" s="80"/>
      <c r="B309" s="108" t="str">
        <f>'Input Assumptions'!D38</f>
        <v>Shareholder salary adjustment (+=underpayed)</v>
      </c>
      <c r="E309" s="264">
        <f>'Input Assumptions'!E38</f>
        <v>55000</v>
      </c>
      <c r="F309" s="264">
        <f>'Input Assumptions'!F38</f>
        <v>0</v>
      </c>
      <c r="G309" s="264">
        <f>'Input Assumptions'!G38</f>
        <v>0</v>
      </c>
      <c r="H309" s="264">
        <f>'Input Assumptions'!H38</f>
        <v>0</v>
      </c>
      <c r="I309" s="264">
        <f>'Input Assumptions'!I38</f>
        <v>0</v>
      </c>
      <c r="J309" s="82"/>
      <c r="K309" s="82"/>
      <c r="L309" s="82"/>
      <c r="M309" s="123"/>
      <c r="N309" s="123"/>
      <c r="O309" s="123"/>
      <c r="P309" s="123"/>
      <c r="Q309" s="123"/>
      <c r="R309" s="123"/>
      <c r="S309" s="123"/>
      <c r="T309" s="123"/>
      <c r="U309" s="123"/>
      <c r="V309" s="123"/>
      <c r="W309" s="123"/>
      <c r="X309" s="123"/>
      <c r="Y309" s="123"/>
      <c r="Z309" s="123"/>
      <c r="AA309" s="123"/>
      <c r="AB309" s="123"/>
      <c r="AC309" s="123"/>
      <c r="AD309" s="123"/>
      <c r="AE309" s="123"/>
      <c r="AF309" s="123"/>
      <c r="AG309" s="123"/>
      <c r="AH309" s="123"/>
      <c r="AI309" s="123"/>
      <c r="AJ309" s="123"/>
      <c r="AK309" s="123"/>
      <c r="AL309" s="123"/>
      <c r="AM309" s="123"/>
      <c r="AN309" s="123"/>
      <c r="AO309" s="123"/>
      <c r="AP309" s="123"/>
      <c r="AQ309" s="123"/>
      <c r="AR309" s="123"/>
      <c r="AS309" s="123"/>
      <c r="AT309" s="123"/>
      <c r="AU309" s="123"/>
      <c r="AV309" s="123"/>
      <c r="AW309" s="123"/>
      <c r="AX309" s="123"/>
      <c r="AY309" s="123"/>
      <c r="AZ309" s="123"/>
      <c r="BA309" s="123"/>
      <c r="BB309" s="123"/>
      <c r="BC309" s="123"/>
      <c r="BD309" s="123"/>
      <c r="BE309" s="123"/>
      <c r="BF309" s="123"/>
      <c r="BG309" s="123"/>
      <c r="BH309" s="123"/>
      <c r="BI309" s="123"/>
      <c r="BJ309" s="123"/>
      <c r="BK309" s="123"/>
      <c r="BL309" s="123"/>
      <c r="BM309" s="123"/>
      <c r="BN309" s="123"/>
      <c r="BO309" s="123"/>
      <c r="BP309" s="123"/>
      <c r="BQ309" s="123"/>
      <c r="BR309" s="123"/>
      <c r="BS309" s="119"/>
    </row>
    <row r="310" ht="13.5" customHeight="1">
      <c r="A310" s="80"/>
      <c r="B310" s="265" t="s">
        <v>388</v>
      </c>
      <c r="C310" s="265"/>
      <c r="D310" s="265"/>
      <c r="E310" s="266">
        <f t="shared" ref="E310:I310" si="264">E308-E309</f>
        <v>-155859.9225</v>
      </c>
      <c r="F310" s="266">
        <f t="shared" si="264"/>
        <v>-17618.40899</v>
      </c>
      <c r="G310" s="266">
        <f t="shared" si="264"/>
        <v>9551.648035</v>
      </c>
      <c r="H310" s="266">
        <f t="shared" si="264"/>
        <v>21162.7282</v>
      </c>
      <c r="I310" s="266">
        <f t="shared" si="264"/>
        <v>76954.46806</v>
      </c>
      <c r="J310" s="82"/>
      <c r="K310" s="82"/>
      <c r="L310" s="82"/>
      <c r="M310" s="123"/>
      <c r="N310" s="123"/>
      <c r="O310" s="123"/>
      <c r="P310" s="123"/>
      <c r="Q310" s="123"/>
      <c r="R310" s="123"/>
      <c r="S310" s="123"/>
      <c r="T310" s="123"/>
      <c r="U310" s="123"/>
      <c r="V310" s="123"/>
      <c r="W310" s="123"/>
      <c r="X310" s="123"/>
      <c r="Y310" s="123"/>
      <c r="Z310" s="123"/>
      <c r="AA310" s="123"/>
      <c r="AB310" s="123"/>
      <c r="AC310" s="123"/>
      <c r="AD310" s="123"/>
      <c r="AE310" s="123"/>
      <c r="AF310" s="123"/>
      <c r="AG310" s="123"/>
      <c r="AH310" s="123"/>
      <c r="AI310" s="123"/>
      <c r="AJ310" s="123"/>
      <c r="AK310" s="123"/>
      <c r="AL310" s="123"/>
      <c r="AM310" s="123"/>
      <c r="AN310" s="123"/>
      <c r="AO310" s="123"/>
      <c r="AP310" s="123"/>
      <c r="AQ310" s="123"/>
      <c r="AR310" s="123"/>
      <c r="AS310" s="123"/>
      <c r="AT310" s="123"/>
      <c r="AU310" s="123"/>
      <c r="AV310" s="123"/>
      <c r="AW310" s="123"/>
      <c r="AX310" s="123"/>
      <c r="AY310" s="123"/>
      <c r="AZ310" s="123"/>
      <c r="BA310" s="123"/>
      <c r="BB310" s="123"/>
      <c r="BC310" s="123"/>
      <c r="BD310" s="123"/>
      <c r="BE310" s="123"/>
      <c r="BF310" s="123"/>
      <c r="BG310" s="123"/>
      <c r="BH310" s="123"/>
      <c r="BI310" s="123"/>
      <c r="BJ310" s="123"/>
      <c r="BK310" s="123"/>
      <c r="BL310" s="123"/>
      <c r="BM310" s="123"/>
      <c r="BN310" s="123"/>
      <c r="BO310" s="123"/>
      <c r="BP310" s="123"/>
      <c r="BQ310" s="123"/>
      <c r="BR310" s="123"/>
      <c r="BS310" s="119"/>
    </row>
    <row r="311" ht="13.5" customHeight="1">
      <c r="A311" s="80"/>
      <c r="B311" s="108" t="s">
        <v>389</v>
      </c>
      <c r="E311" s="267">
        <f t="shared" ref="E311:I311" si="265">IFERROR(E310/E307,0)</f>
        <v>-0.5381852831</v>
      </c>
      <c r="F311" s="267">
        <f t="shared" si="265"/>
        <v>-0.0344412578</v>
      </c>
      <c r="G311" s="267">
        <f t="shared" si="265"/>
        <v>0.01609126938</v>
      </c>
      <c r="H311" s="267">
        <f t="shared" si="265"/>
        <v>0.03262630941</v>
      </c>
      <c r="I311" s="267">
        <f t="shared" si="265"/>
        <v>0.1095473504</v>
      </c>
      <c r="J311" s="82"/>
      <c r="K311" s="82"/>
      <c r="L311" s="82"/>
      <c r="M311" s="123"/>
      <c r="N311" s="123"/>
      <c r="O311" s="123"/>
      <c r="P311" s="123"/>
      <c r="Q311" s="123"/>
      <c r="R311" s="123"/>
      <c r="S311" s="123"/>
      <c r="T311" s="123"/>
      <c r="U311" s="123"/>
      <c r="V311" s="123"/>
      <c r="W311" s="123"/>
      <c r="X311" s="123"/>
      <c r="Y311" s="123"/>
      <c r="Z311" s="123"/>
      <c r="AA311" s="123"/>
      <c r="AB311" s="123"/>
      <c r="AC311" s="123"/>
      <c r="AD311" s="123"/>
      <c r="AE311" s="123"/>
      <c r="AF311" s="123"/>
      <c r="AG311" s="123"/>
      <c r="AH311" s="123"/>
      <c r="AI311" s="123"/>
      <c r="AJ311" s="123"/>
      <c r="AK311" s="123"/>
      <c r="AL311" s="123"/>
      <c r="AM311" s="123"/>
      <c r="AN311" s="123"/>
      <c r="AO311" s="123"/>
      <c r="AP311" s="123"/>
      <c r="AQ311" s="123"/>
      <c r="AR311" s="123"/>
      <c r="AS311" s="123"/>
      <c r="AT311" s="123"/>
      <c r="AU311" s="123"/>
      <c r="AV311" s="123"/>
      <c r="AW311" s="123"/>
      <c r="AX311" s="123"/>
      <c r="AY311" s="123"/>
      <c r="AZ311" s="123"/>
      <c r="BA311" s="123"/>
      <c r="BB311" s="123"/>
      <c r="BC311" s="123"/>
      <c r="BD311" s="123"/>
      <c r="BE311" s="123"/>
      <c r="BF311" s="123"/>
      <c r="BG311" s="123"/>
      <c r="BH311" s="123"/>
      <c r="BI311" s="123"/>
      <c r="BJ311" s="123"/>
      <c r="BK311" s="123"/>
      <c r="BL311" s="123"/>
      <c r="BM311" s="123"/>
      <c r="BN311" s="123"/>
      <c r="BO311" s="123"/>
      <c r="BP311" s="123"/>
      <c r="BQ311" s="123"/>
      <c r="BR311" s="123"/>
      <c r="BS311" s="119"/>
    </row>
    <row r="312" ht="13.5" customHeight="1">
      <c r="A312" s="80"/>
      <c r="J312" s="82"/>
      <c r="K312" s="82"/>
      <c r="L312" s="82"/>
      <c r="M312" s="123"/>
      <c r="N312" s="123"/>
      <c r="O312" s="123"/>
      <c r="P312" s="123"/>
      <c r="Q312" s="123"/>
      <c r="R312" s="123"/>
      <c r="S312" s="123"/>
      <c r="T312" s="123"/>
      <c r="U312" s="123"/>
      <c r="V312" s="123"/>
      <c r="W312" s="123"/>
      <c r="X312" s="123"/>
      <c r="Y312" s="123"/>
      <c r="Z312" s="123"/>
      <c r="AA312" s="123"/>
      <c r="AB312" s="123"/>
      <c r="AC312" s="123"/>
      <c r="AD312" s="123"/>
      <c r="AE312" s="123"/>
      <c r="AF312" s="123"/>
      <c r="AG312" s="123"/>
      <c r="AH312" s="123"/>
      <c r="AI312" s="123"/>
      <c r="AJ312" s="123"/>
      <c r="AK312" s="123"/>
      <c r="AL312" s="123"/>
      <c r="AM312" s="123"/>
      <c r="AN312" s="123"/>
      <c r="AO312" s="123"/>
      <c r="AP312" s="123"/>
      <c r="AQ312" s="123"/>
      <c r="AR312" s="123"/>
      <c r="AS312" s="123"/>
      <c r="AT312" s="123"/>
      <c r="AU312" s="123"/>
      <c r="AV312" s="123"/>
      <c r="AW312" s="123"/>
      <c r="AX312" s="123"/>
      <c r="AY312" s="123"/>
      <c r="AZ312" s="123"/>
      <c r="BA312" s="123"/>
      <c r="BB312" s="123"/>
      <c r="BC312" s="123"/>
      <c r="BD312" s="123"/>
      <c r="BE312" s="123"/>
      <c r="BF312" s="123"/>
      <c r="BG312" s="123"/>
      <c r="BH312" s="123"/>
      <c r="BI312" s="123"/>
      <c r="BJ312" s="123"/>
      <c r="BK312" s="123"/>
      <c r="BL312" s="123"/>
      <c r="BM312" s="123"/>
      <c r="BN312" s="123"/>
      <c r="BO312" s="123"/>
      <c r="BP312" s="123"/>
      <c r="BQ312" s="123"/>
      <c r="BR312" s="123"/>
      <c r="BS312" s="119"/>
    </row>
    <row r="313" ht="13.5" customHeight="1">
      <c r="A313" s="80"/>
      <c r="B313" s="2" t="s">
        <v>390</v>
      </c>
      <c r="C313" s="2"/>
      <c r="D313" s="2"/>
      <c r="E313" s="177">
        <f>Model!E$139</f>
        <v>59850</v>
      </c>
      <c r="F313" s="177">
        <f>Model!F$139</f>
        <v>0</v>
      </c>
      <c r="G313" s="177">
        <f>Model!G$139</f>
        <v>0</v>
      </c>
      <c r="H313" s="177">
        <f>Model!H$139</f>
        <v>0</v>
      </c>
      <c r="I313" s="177">
        <f>Model!I$139</f>
        <v>0</v>
      </c>
      <c r="J313" s="82"/>
      <c r="K313" s="82"/>
      <c r="L313" s="82"/>
      <c r="M313" s="123"/>
      <c r="N313" s="123"/>
      <c r="O313" s="123"/>
      <c r="P313" s="123"/>
      <c r="Q313" s="123"/>
      <c r="R313" s="123"/>
      <c r="S313" s="123"/>
      <c r="T313" s="123"/>
      <c r="U313" s="123"/>
      <c r="V313" s="123"/>
      <c r="W313" s="123"/>
      <c r="X313" s="123"/>
      <c r="Y313" s="123"/>
      <c r="Z313" s="123"/>
      <c r="AA313" s="123"/>
      <c r="AB313" s="123"/>
      <c r="AC313" s="123"/>
      <c r="AD313" s="123"/>
      <c r="AE313" s="123"/>
      <c r="AF313" s="123"/>
      <c r="AG313" s="123"/>
      <c r="AH313" s="123"/>
      <c r="AI313" s="123"/>
      <c r="AJ313" s="123"/>
      <c r="AK313" s="123"/>
      <c r="AL313" s="123"/>
      <c r="AM313" s="123"/>
      <c r="AN313" s="123"/>
      <c r="AO313" s="123"/>
      <c r="AP313" s="123"/>
      <c r="AQ313" s="123"/>
      <c r="AR313" s="123"/>
      <c r="AS313" s="123"/>
      <c r="AT313" s="123"/>
      <c r="AU313" s="123"/>
      <c r="AV313" s="123"/>
      <c r="AW313" s="123"/>
      <c r="AX313" s="123"/>
      <c r="AY313" s="123"/>
      <c r="AZ313" s="123"/>
      <c r="BA313" s="123"/>
      <c r="BB313" s="123"/>
      <c r="BC313" s="123"/>
      <c r="BD313" s="123"/>
      <c r="BE313" s="123"/>
      <c r="BF313" s="123"/>
      <c r="BG313" s="123"/>
      <c r="BH313" s="123"/>
      <c r="BI313" s="123"/>
      <c r="BJ313" s="123"/>
      <c r="BK313" s="123"/>
      <c r="BL313" s="123"/>
      <c r="BM313" s="123"/>
      <c r="BN313" s="123"/>
      <c r="BO313" s="123"/>
      <c r="BP313" s="123"/>
      <c r="BQ313" s="123"/>
      <c r="BR313" s="123"/>
      <c r="BS313" s="119"/>
    </row>
    <row r="314" ht="13.5" customHeight="1">
      <c r="A314" s="80"/>
      <c r="E314" s="170"/>
      <c r="F314" s="170"/>
      <c r="G314" s="170"/>
      <c r="H314" s="170"/>
      <c r="I314" s="170"/>
      <c r="J314" s="82"/>
      <c r="K314" s="82"/>
      <c r="L314" s="82"/>
      <c r="M314" s="123"/>
      <c r="N314" s="123"/>
      <c r="O314" s="123"/>
      <c r="P314" s="123"/>
      <c r="Q314" s="123"/>
      <c r="R314" s="123"/>
      <c r="S314" s="123"/>
      <c r="T314" s="123"/>
      <c r="U314" s="123"/>
      <c r="V314" s="123"/>
      <c r="W314" s="123"/>
      <c r="X314" s="123"/>
      <c r="Y314" s="123"/>
      <c r="Z314" s="123"/>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3"/>
      <c r="AZ314" s="123"/>
      <c r="BA314" s="123"/>
      <c r="BB314" s="123"/>
      <c r="BC314" s="123"/>
      <c r="BD314" s="123"/>
      <c r="BE314" s="123"/>
      <c r="BF314" s="123"/>
      <c r="BG314" s="123"/>
      <c r="BH314" s="123"/>
      <c r="BI314" s="123"/>
      <c r="BJ314" s="123"/>
      <c r="BK314" s="123"/>
      <c r="BL314" s="123"/>
      <c r="BM314" s="123"/>
      <c r="BN314" s="123"/>
      <c r="BO314" s="123"/>
      <c r="BP314" s="123"/>
      <c r="BQ314" s="123"/>
      <c r="BR314" s="123"/>
      <c r="BS314" s="119"/>
    </row>
    <row r="315" ht="13.5" customHeight="1">
      <c r="A315" s="80"/>
      <c r="B315" s="108" t="s">
        <v>274</v>
      </c>
      <c r="E315" s="170">
        <f>E$310*LTGR</f>
        <v>-779299.6127</v>
      </c>
      <c r="F315" s="170">
        <f>F$310*LTGR</f>
        <v>-88092.04496</v>
      </c>
      <c r="G315" s="170">
        <f>G$310*LTGR</f>
        <v>47758.24018</v>
      </c>
      <c r="H315" s="170">
        <f>H$310*LTGR</f>
        <v>105813.641</v>
      </c>
      <c r="I315" s="170">
        <f>I$310*LTGR</f>
        <v>384772.3403</v>
      </c>
      <c r="J315" s="82"/>
      <c r="K315" s="82"/>
      <c r="L315" s="82"/>
      <c r="M315" s="123"/>
      <c r="N315" s="123"/>
      <c r="O315" s="123"/>
      <c r="P315" s="123"/>
      <c r="Q315" s="123"/>
      <c r="R315" s="123"/>
      <c r="S315" s="123"/>
      <c r="T315" s="123"/>
      <c r="U315" s="123"/>
      <c r="V315" s="123"/>
      <c r="W315" s="123"/>
      <c r="X315" s="123"/>
      <c r="Y315" s="123"/>
      <c r="Z315" s="123"/>
      <c r="AA315" s="123"/>
      <c r="AB315" s="123"/>
      <c r="AC315" s="123"/>
      <c r="AD315" s="123"/>
      <c r="AE315" s="123"/>
      <c r="AF315" s="123"/>
      <c r="AG315" s="123"/>
      <c r="AH315" s="123"/>
      <c r="AI315" s="123"/>
      <c r="AJ315" s="123"/>
      <c r="AK315" s="123"/>
      <c r="AL315" s="123"/>
      <c r="AM315" s="123"/>
      <c r="AN315" s="123"/>
      <c r="AO315" s="123"/>
      <c r="AP315" s="123"/>
      <c r="AQ315" s="123"/>
      <c r="AR315" s="123"/>
      <c r="AS315" s="123"/>
      <c r="AT315" s="123"/>
      <c r="AU315" s="123"/>
      <c r="AV315" s="123"/>
      <c r="AW315" s="123"/>
      <c r="AX315" s="123"/>
      <c r="AY315" s="123"/>
      <c r="AZ315" s="123"/>
      <c r="BA315" s="123"/>
      <c r="BB315" s="123"/>
      <c r="BC315" s="123"/>
      <c r="BD315" s="123"/>
      <c r="BE315" s="123"/>
      <c r="BF315" s="123"/>
      <c r="BG315" s="123"/>
      <c r="BH315" s="123"/>
      <c r="BI315" s="123"/>
      <c r="BJ315" s="123"/>
      <c r="BK315" s="123"/>
      <c r="BL315" s="123"/>
      <c r="BM315" s="123"/>
      <c r="BN315" s="123"/>
      <c r="BO315" s="123"/>
      <c r="BP315" s="123"/>
      <c r="BQ315" s="123"/>
      <c r="BR315" s="123"/>
      <c r="BS315" s="119"/>
    </row>
    <row r="316" ht="13.5" customHeight="1">
      <c r="A316" s="80"/>
      <c r="B316" s="108" t="str">
        <f>"Estimated taxes on sale ("&amp;Corp_Tax*100&amp;"%)"</f>
        <v>Estimated taxes on sale (21%)</v>
      </c>
      <c r="E316" s="170">
        <f>Corp_Tax*E315</f>
        <v>-163652.9187</v>
      </c>
      <c r="F316" s="170">
        <f>Corp_Tax*F315</f>
        <v>-18499.32944</v>
      </c>
      <c r="G316" s="170">
        <f>Corp_Tax*G315</f>
        <v>10029.23044</v>
      </c>
      <c r="H316" s="170">
        <f>Corp_Tax*H315</f>
        <v>22220.86461</v>
      </c>
      <c r="I316" s="170">
        <f>Corp_Tax*I315</f>
        <v>80802.19146</v>
      </c>
      <c r="J316" s="82"/>
      <c r="K316" s="82"/>
      <c r="L316" s="82"/>
      <c r="M316" s="123"/>
      <c r="N316" s="123"/>
      <c r="O316" s="123"/>
      <c r="P316" s="123"/>
      <c r="Q316" s="123"/>
      <c r="R316" s="123"/>
      <c r="S316" s="123"/>
      <c r="T316" s="123"/>
      <c r="U316" s="123"/>
      <c r="V316" s="123"/>
      <c r="W316" s="123"/>
      <c r="X316" s="123"/>
      <c r="Y316" s="123"/>
      <c r="Z316" s="123"/>
      <c r="AA316" s="123"/>
      <c r="AB316" s="123"/>
      <c r="AC316" s="123"/>
      <c r="AD316" s="123"/>
      <c r="AE316" s="123"/>
      <c r="AF316" s="123"/>
      <c r="AG316" s="123"/>
      <c r="AH316" s="123"/>
      <c r="AI316" s="123"/>
      <c r="AJ316" s="123"/>
      <c r="AK316" s="123"/>
      <c r="AL316" s="123"/>
      <c r="AM316" s="123"/>
      <c r="AN316" s="123"/>
      <c r="AO316" s="123"/>
      <c r="AP316" s="123"/>
      <c r="AQ316" s="123"/>
      <c r="AR316" s="123"/>
      <c r="AS316" s="123"/>
      <c r="AT316" s="123"/>
      <c r="AU316" s="123"/>
      <c r="AV316" s="123"/>
      <c r="AW316" s="123"/>
      <c r="AX316" s="123"/>
      <c r="AY316" s="123"/>
      <c r="AZ316" s="123"/>
      <c r="BA316" s="123"/>
      <c r="BB316" s="123"/>
      <c r="BC316" s="123"/>
      <c r="BD316" s="123"/>
      <c r="BE316" s="123"/>
      <c r="BF316" s="123"/>
      <c r="BG316" s="123"/>
      <c r="BH316" s="123"/>
      <c r="BI316" s="123"/>
      <c r="BJ316" s="123"/>
      <c r="BK316" s="123"/>
      <c r="BL316" s="123"/>
      <c r="BM316" s="123"/>
      <c r="BN316" s="123"/>
      <c r="BO316" s="123"/>
      <c r="BP316" s="123"/>
      <c r="BQ316" s="123"/>
      <c r="BR316" s="123"/>
      <c r="BS316" s="119"/>
    </row>
    <row r="317" ht="13.5" customHeight="1">
      <c r="A317" s="80"/>
      <c r="E317" s="170"/>
      <c r="F317" s="170"/>
      <c r="G317" s="170"/>
      <c r="H317" s="170"/>
      <c r="I317" s="170"/>
      <c r="J317" s="82"/>
      <c r="K317" s="82"/>
      <c r="L317" s="82"/>
      <c r="M317" s="123"/>
      <c r="N317" s="123"/>
      <c r="O317" s="123"/>
      <c r="P317" s="123"/>
      <c r="Q317" s="123"/>
      <c r="R317" s="123"/>
      <c r="S317" s="123"/>
      <c r="T317" s="123"/>
      <c r="U317" s="123"/>
      <c r="V317" s="123"/>
      <c r="W317" s="123"/>
      <c r="X317" s="123"/>
      <c r="Y317" s="123"/>
      <c r="Z317" s="123"/>
      <c r="AA317" s="123"/>
      <c r="AB317" s="123"/>
      <c r="AC317" s="123"/>
      <c r="AD317" s="123"/>
      <c r="AE317" s="123"/>
      <c r="AF317" s="123"/>
      <c r="AG317" s="123"/>
      <c r="AH317" s="123"/>
      <c r="AI317" s="123"/>
      <c r="AJ317" s="123"/>
      <c r="AK317" s="123"/>
      <c r="AL317" s="123"/>
      <c r="AM317" s="123"/>
      <c r="AN317" s="123"/>
      <c r="AO317" s="123"/>
      <c r="AP317" s="123"/>
      <c r="AQ317" s="123"/>
      <c r="AR317" s="123"/>
      <c r="AS317" s="123"/>
      <c r="AT317" s="123"/>
      <c r="AU317" s="123"/>
      <c r="AV317" s="123"/>
      <c r="AW317" s="123"/>
      <c r="AX317" s="123"/>
      <c r="AY317" s="123"/>
      <c r="AZ317" s="123"/>
      <c r="BA317" s="123"/>
      <c r="BB317" s="123"/>
      <c r="BC317" s="123"/>
      <c r="BD317" s="123"/>
      <c r="BE317" s="123"/>
      <c r="BF317" s="123"/>
      <c r="BG317" s="123"/>
      <c r="BH317" s="123"/>
      <c r="BI317" s="123"/>
      <c r="BJ317" s="123"/>
      <c r="BK317" s="123"/>
      <c r="BL317" s="123"/>
      <c r="BM317" s="123"/>
      <c r="BN317" s="123"/>
      <c r="BO317" s="123"/>
      <c r="BP317" s="123"/>
      <c r="BQ317" s="123"/>
      <c r="BR317" s="123"/>
      <c r="BS317" s="119"/>
    </row>
    <row r="318" ht="13.5" customHeight="1">
      <c r="A318" s="80"/>
      <c r="B318" s="245" t="s">
        <v>275</v>
      </c>
      <c r="C318" s="245"/>
      <c r="D318" s="245"/>
      <c r="E318" s="182">
        <f t="shared" ref="E318:I318" si="266">E315-E316</f>
        <v>-615646.6941</v>
      </c>
      <c r="F318" s="182">
        <f t="shared" si="266"/>
        <v>-69592.71552</v>
      </c>
      <c r="G318" s="182">
        <f t="shared" si="266"/>
        <v>37729.00974</v>
      </c>
      <c r="H318" s="182">
        <f t="shared" si="266"/>
        <v>83592.77641</v>
      </c>
      <c r="I318" s="182">
        <f t="shared" si="266"/>
        <v>303970.1488</v>
      </c>
      <c r="J318" s="82"/>
      <c r="K318" s="82"/>
      <c r="L318" s="82"/>
      <c r="M318" s="123"/>
      <c r="N318" s="123"/>
      <c r="O318" s="123"/>
      <c r="P318" s="123"/>
      <c r="Q318" s="123"/>
      <c r="R318" s="123"/>
      <c r="S318" s="123"/>
      <c r="T318" s="123"/>
      <c r="U318" s="123"/>
      <c r="V318" s="123"/>
      <c r="W318" s="123"/>
      <c r="X318" s="123"/>
      <c r="Y318" s="123"/>
      <c r="Z318" s="123"/>
      <c r="AA318" s="123"/>
      <c r="AB318" s="123"/>
      <c r="AC318" s="123"/>
      <c r="AD318" s="123"/>
      <c r="AE318" s="123"/>
      <c r="AF318" s="123"/>
      <c r="AG318" s="123"/>
      <c r="AH318" s="123"/>
      <c r="AI318" s="123"/>
      <c r="AJ318" s="123"/>
      <c r="AK318" s="123"/>
      <c r="AL318" s="123"/>
      <c r="AM318" s="123"/>
      <c r="AN318" s="123"/>
      <c r="AO318" s="123"/>
      <c r="AP318" s="123"/>
      <c r="AQ318" s="123"/>
      <c r="AR318" s="123"/>
      <c r="AS318" s="123"/>
      <c r="AT318" s="123"/>
      <c r="AU318" s="123"/>
      <c r="AV318" s="123"/>
      <c r="AW318" s="123"/>
      <c r="AX318" s="123"/>
      <c r="AY318" s="123"/>
      <c r="AZ318" s="123"/>
      <c r="BA318" s="123"/>
      <c r="BB318" s="123"/>
      <c r="BC318" s="123"/>
      <c r="BD318" s="123"/>
      <c r="BE318" s="123"/>
      <c r="BF318" s="123"/>
      <c r="BG318" s="123"/>
      <c r="BH318" s="123"/>
      <c r="BI318" s="123"/>
      <c r="BJ318" s="123"/>
      <c r="BK318" s="123"/>
      <c r="BL318" s="123"/>
      <c r="BM318" s="123"/>
      <c r="BN318" s="123"/>
      <c r="BO318" s="123"/>
      <c r="BP318" s="123"/>
      <c r="BQ318" s="123"/>
      <c r="BR318" s="123"/>
      <c r="BS318" s="119"/>
    </row>
    <row r="319" ht="13.5" customHeight="1">
      <c r="A319" s="80"/>
      <c r="B319" s="108" t="s">
        <v>276</v>
      </c>
      <c r="E319" s="267">
        <f t="shared" ref="E319:I319" si="267">IFERROR(E310/E318,0)</f>
        <v>0.253164557</v>
      </c>
      <c r="F319" s="267">
        <f t="shared" si="267"/>
        <v>0.253164557</v>
      </c>
      <c r="G319" s="267">
        <f t="shared" si="267"/>
        <v>0.253164557</v>
      </c>
      <c r="H319" s="267">
        <f t="shared" si="267"/>
        <v>0.253164557</v>
      </c>
      <c r="I319" s="267">
        <f t="shared" si="267"/>
        <v>0.253164557</v>
      </c>
      <c r="J319" s="82"/>
      <c r="K319" s="82"/>
      <c r="L319" s="82"/>
      <c r="M319" s="123"/>
      <c r="N319" s="123"/>
      <c r="O319" s="123"/>
      <c r="P319" s="123"/>
      <c r="Q319" s="123"/>
      <c r="R319" s="123"/>
      <c r="S319" s="123"/>
      <c r="T319" s="123"/>
      <c r="U319" s="123"/>
      <c r="V319" s="123"/>
      <c r="W319" s="123"/>
      <c r="X319" s="123"/>
      <c r="Y319" s="123"/>
      <c r="Z319" s="123"/>
      <c r="AA319" s="123"/>
      <c r="AB319" s="123"/>
      <c r="AC319" s="123"/>
      <c r="AD319" s="123"/>
      <c r="AE319" s="123"/>
      <c r="AF319" s="123"/>
      <c r="AG319" s="123"/>
      <c r="AH319" s="123"/>
      <c r="AI319" s="123"/>
      <c r="AJ319" s="123"/>
      <c r="AK319" s="123"/>
      <c r="AL319" s="123"/>
      <c r="AM319" s="123"/>
      <c r="AN319" s="123"/>
      <c r="AO319" s="123"/>
      <c r="AP319" s="123"/>
      <c r="AQ319" s="123"/>
      <c r="AR319" s="123"/>
      <c r="AS319" s="123"/>
      <c r="AT319" s="123"/>
      <c r="AU319" s="123"/>
      <c r="AV319" s="123"/>
      <c r="AW319" s="123"/>
      <c r="AX319" s="123"/>
      <c r="AY319" s="123"/>
      <c r="AZ319" s="123"/>
      <c r="BA319" s="123"/>
      <c r="BB319" s="123"/>
      <c r="BC319" s="123"/>
      <c r="BD319" s="123"/>
      <c r="BE319" s="123"/>
      <c r="BF319" s="123"/>
      <c r="BG319" s="123"/>
      <c r="BH319" s="123"/>
      <c r="BI319" s="123"/>
      <c r="BJ319" s="123"/>
      <c r="BK319" s="123"/>
      <c r="BL319" s="123"/>
      <c r="BM319" s="123"/>
      <c r="BN319" s="123"/>
      <c r="BO319" s="123"/>
      <c r="BP319" s="123"/>
      <c r="BQ319" s="123"/>
      <c r="BR319" s="123"/>
      <c r="BS319" s="119"/>
    </row>
    <row r="320" ht="13.5" customHeight="1">
      <c r="A320" s="80"/>
      <c r="B320" s="108" t="s">
        <v>277</v>
      </c>
      <c r="E320" s="268">
        <f>'Returns on Invested Capital'!E19</f>
        <v>-0.6150987604</v>
      </c>
      <c r="F320" s="268">
        <f>'Returns on Invested Capital'!F19</f>
        <v>-0.07472657384</v>
      </c>
      <c r="G320" s="268">
        <f>'Returns on Invested Capital'!G19</f>
        <v>0.03893493766</v>
      </c>
      <c r="H320" s="268">
        <f>'Returns on Invested Capital'!H19</f>
        <v>0.07941402045</v>
      </c>
      <c r="I320" s="268">
        <f>'Returns on Invested Capital'!I19</f>
        <v>0.224069279</v>
      </c>
      <c r="J320" s="82"/>
      <c r="K320" s="82"/>
      <c r="L320" s="82"/>
      <c r="M320" s="123"/>
      <c r="N320" s="123"/>
      <c r="O320" s="123"/>
      <c r="P320" s="123"/>
      <c r="Q320" s="123"/>
      <c r="R320" s="123"/>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3"/>
      <c r="AZ320" s="123"/>
      <c r="BA320" s="123"/>
      <c r="BB320" s="123"/>
      <c r="BC320" s="123"/>
      <c r="BD320" s="123"/>
      <c r="BE320" s="123"/>
      <c r="BF320" s="123"/>
      <c r="BG320" s="123"/>
      <c r="BH320" s="123"/>
      <c r="BI320" s="123"/>
      <c r="BJ320" s="123"/>
      <c r="BK320" s="123"/>
      <c r="BL320" s="123"/>
      <c r="BM320" s="123"/>
      <c r="BN320" s="123"/>
      <c r="BO320" s="123"/>
      <c r="BP320" s="123"/>
      <c r="BQ320" s="123"/>
      <c r="BR320" s="123"/>
      <c r="BS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row>
    <row r="322" ht="15.75" customHeight="1">
      <c r="A322" s="106"/>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c r="BJ322" s="75"/>
      <c r="BK322" s="75"/>
      <c r="BL322" s="75"/>
      <c r="BM322" s="75"/>
      <c r="BN322" s="75"/>
      <c r="BO322" s="75"/>
      <c r="BP322" s="75"/>
      <c r="BQ322" s="75"/>
      <c r="BR322" s="75"/>
      <c r="BS322" s="75"/>
    </row>
    <row r="323" ht="15.75" customHeight="1">
      <c r="A323" s="106"/>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c r="BJ323" s="75"/>
      <c r="BK323" s="75"/>
      <c r="BL323" s="75"/>
      <c r="BM323" s="75"/>
      <c r="BN323" s="75"/>
      <c r="BO323" s="75"/>
      <c r="BP323" s="75"/>
      <c r="BQ323" s="75"/>
      <c r="BR323" s="75"/>
      <c r="BS323" s="75"/>
    </row>
    <row r="324" ht="15.75" customHeight="1">
      <c r="A324" s="106"/>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c r="BJ324" s="75"/>
      <c r="BK324" s="75"/>
      <c r="BL324" s="75"/>
      <c r="BM324" s="75"/>
      <c r="BN324" s="75"/>
      <c r="BO324" s="75"/>
      <c r="BP324" s="75"/>
      <c r="BQ324" s="75"/>
      <c r="BR324" s="75"/>
      <c r="BS324" s="75"/>
    </row>
    <row r="325" ht="15.75" customHeight="1">
      <c r="A325" s="106"/>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c r="BJ325" s="75"/>
      <c r="BK325" s="75"/>
      <c r="BL325" s="75"/>
      <c r="BM325" s="75"/>
      <c r="BN325" s="75"/>
      <c r="BO325" s="75"/>
      <c r="BP325" s="75"/>
      <c r="BQ325" s="75"/>
      <c r="BR325" s="75"/>
      <c r="BS325" s="75"/>
    </row>
    <row r="326" ht="15.75" customHeight="1">
      <c r="A326" s="106"/>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c r="BJ326" s="75"/>
      <c r="BK326" s="75"/>
      <c r="BL326" s="75"/>
      <c r="BM326" s="75"/>
      <c r="BN326" s="75"/>
      <c r="BO326" s="75"/>
      <c r="BP326" s="75"/>
      <c r="BQ326" s="75"/>
      <c r="BR326" s="75"/>
      <c r="BS326" s="75"/>
    </row>
    <row r="327" ht="15.75" customHeight="1">
      <c r="A327" s="106"/>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c r="BJ327" s="75"/>
      <c r="BK327" s="75"/>
      <c r="BL327" s="75"/>
      <c r="BM327" s="75"/>
      <c r="BN327" s="75"/>
      <c r="BO327" s="75"/>
      <c r="BP327" s="75"/>
      <c r="BQ327" s="75"/>
      <c r="BR327" s="75"/>
      <c r="BS327" s="75"/>
    </row>
    <row r="328" ht="15.75" customHeight="1">
      <c r="A328" s="106"/>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c r="BJ328" s="75"/>
      <c r="BK328" s="75"/>
      <c r="BL328" s="75"/>
      <c r="BM328" s="75"/>
      <c r="BN328" s="75"/>
      <c r="BO328" s="75"/>
      <c r="BP328" s="75"/>
      <c r="BQ328" s="75"/>
      <c r="BR328" s="75"/>
      <c r="BS328" s="75"/>
    </row>
    <row r="329" ht="15.75" customHeight="1">
      <c r="A329" s="106"/>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c r="BK329" s="75"/>
      <c r="BL329" s="75"/>
      <c r="BM329" s="75"/>
      <c r="BN329" s="75"/>
      <c r="BO329" s="75"/>
      <c r="BP329" s="75"/>
      <c r="BQ329" s="75"/>
      <c r="BR329" s="75"/>
      <c r="BS329" s="75"/>
    </row>
    <row r="330" ht="15.75" customHeight="1">
      <c r="A330" s="106"/>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c r="BJ330" s="75"/>
      <c r="BK330" s="75"/>
      <c r="BL330" s="75"/>
      <c r="BM330" s="75"/>
      <c r="BN330" s="75"/>
      <c r="BO330" s="75"/>
      <c r="BP330" s="75"/>
      <c r="BQ330" s="75"/>
      <c r="BR330" s="75"/>
      <c r="BS330" s="75"/>
    </row>
    <row r="331" ht="15.75" customHeight="1">
      <c r="A331" s="106"/>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c r="BK331" s="75"/>
      <c r="BL331" s="75"/>
      <c r="BM331" s="75"/>
      <c r="BN331" s="75"/>
      <c r="BO331" s="75"/>
      <c r="BP331" s="75"/>
      <c r="BQ331" s="75"/>
      <c r="BR331" s="75"/>
      <c r="BS331" s="75"/>
    </row>
    <row r="332" ht="15.75" customHeight="1">
      <c r="A332" s="106"/>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c r="BJ332" s="75"/>
      <c r="BK332" s="75"/>
      <c r="BL332" s="75"/>
      <c r="BM332" s="75"/>
      <c r="BN332" s="75"/>
      <c r="BO332" s="75"/>
      <c r="BP332" s="75"/>
      <c r="BQ332" s="75"/>
      <c r="BR332" s="75"/>
      <c r="BS332" s="75"/>
    </row>
    <row r="333" ht="15.75" customHeight="1">
      <c r="A333" s="106"/>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c r="BJ333" s="75"/>
      <c r="BK333" s="75"/>
      <c r="BL333" s="75"/>
      <c r="BM333" s="75"/>
      <c r="BN333" s="75"/>
      <c r="BO333" s="75"/>
      <c r="BP333" s="75"/>
      <c r="BQ333" s="75"/>
      <c r="BR333" s="75"/>
      <c r="BS333" s="75"/>
    </row>
    <row r="334" ht="15.75" customHeight="1">
      <c r="A334" s="106"/>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c r="BK334" s="75"/>
      <c r="BL334" s="75"/>
      <c r="BM334" s="75"/>
      <c r="BN334" s="75"/>
      <c r="BO334" s="75"/>
      <c r="BP334" s="75"/>
      <c r="BQ334" s="75"/>
      <c r="BR334" s="75"/>
      <c r="BS334" s="75"/>
    </row>
    <row r="335" ht="15.75" customHeight="1">
      <c r="A335" s="106"/>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c r="BK335" s="75"/>
      <c r="BL335" s="75"/>
      <c r="BM335" s="75"/>
      <c r="BN335" s="75"/>
      <c r="BO335" s="75"/>
      <c r="BP335" s="75"/>
      <c r="BQ335" s="75"/>
      <c r="BR335" s="75"/>
      <c r="BS335" s="75"/>
    </row>
    <row r="336" ht="15.75" customHeight="1">
      <c r="A336" s="106"/>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c r="BK336" s="75"/>
      <c r="BL336" s="75"/>
      <c r="BM336" s="75"/>
      <c r="BN336" s="75"/>
      <c r="BO336" s="75"/>
      <c r="BP336" s="75"/>
      <c r="BQ336" s="75"/>
      <c r="BR336" s="75"/>
      <c r="BS336" s="75"/>
    </row>
    <row r="337" ht="15.75" customHeight="1">
      <c r="A337" s="106"/>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c r="BK337" s="75"/>
      <c r="BL337" s="75"/>
      <c r="BM337" s="75"/>
      <c r="BN337" s="75"/>
      <c r="BO337" s="75"/>
      <c r="BP337" s="75"/>
      <c r="BQ337" s="75"/>
      <c r="BR337" s="75"/>
      <c r="BS337" s="75"/>
    </row>
    <row r="338" ht="15.75" customHeight="1">
      <c r="A338" s="106"/>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c r="BK338" s="75"/>
      <c r="BL338" s="75"/>
      <c r="BM338" s="75"/>
      <c r="BN338" s="75"/>
      <c r="BO338" s="75"/>
      <c r="BP338" s="75"/>
      <c r="BQ338" s="75"/>
      <c r="BR338" s="75"/>
      <c r="BS338" s="75"/>
    </row>
    <row r="339" ht="15.75" customHeight="1">
      <c r="A339" s="106"/>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c r="BK339" s="75"/>
      <c r="BL339" s="75"/>
      <c r="BM339" s="75"/>
      <c r="BN339" s="75"/>
      <c r="BO339" s="75"/>
      <c r="BP339" s="75"/>
      <c r="BQ339" s="75"/>
      <c r="BR339" s="75"/>
      <c r="BS339" s="75"/>
    </row>
    <row r="340" ht="15.75" customHeight="1">
      <c r="A340" s="106"/>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c r="BJ340" s="75"/>
      <c r="BK340" s="75"/>
      <c r="BL340" s="75"/>
      <c r="BM340" s="75"/>
      <c r="BN340" s="75"/>
      <c r="BO340" s="75"/>
      <c r="BP340" s="75"/>
      <c r="BQ340" s="75"/>
      <c r="BR340" s="75"/>
      <c r="BS340" s="75"/>
    </row>
    <row r="341" ht="15.75" customHeight="1">
      <c r="A341" s="106"/>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c r="BJ341" s="75"/>
      <c r="BK341" s="75"/>
      <c r="BL341" s="75"/>
      <c r="BM341" s="75"/>
      <c r="BN341" s="75"/>
      <c r="BO341" s="75"/>
      <c r="BP341" s="75"/>
      <c r="BQ341" s="75"/>
      <c r="BR341" s="75"/>
      <c r="BS341" s="75"/>
    </row>
    <row r="342" ht="15.75" customHeight="1">
      <c r="A342" s="106"/>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c r="BO342" s="75"/>
      <c r="BP342" s="75"/>
      <c r="BQ342" s="75"/>
      <c r="BR342" s="75"/>
      <c r="BS342" s="75"/>
    </row>
    <row r="343" ht="15.75" customHeight="1">
      <c r="A343" s="106"/>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c r="BJ343" s="75"/>
      <c r="BK343" s="75"/>
      <c r="BL343" s="75"/>
      <c r="BM343" s="75"/>
      <c r="BN343" s="75"/>
      <c r="BO343" s="75"/>
      <c r="BP343" s="75"/>
      <c r="BQ343" s="75"/>
      <c r="BR343" s="75"/>
      <c r="BS343" s="75"/>
    </row>
    <row r="344" ht="15.75" customHeight="1">
      <c r="A344" s="106"/>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c r="BO344" s="75"/>
      <c r="BP344" s="75"/>
      <c r="BQ344" s="75"/>
      <c r="BR344" s="75"/>
      <c r="BS344" s="75"/>
    </row>
    <row r="345" ht="15.75" customHeight="1">
      <c r="A345" s="106"/>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c r="BO345" s="75"/>
      <c r="BP345" s="75"/>
      <c r="BQ345" s="75"/>
      <c r="BR345" s="75"/>
      <c r="BS345" s="75"/>
    </row>
    <row r="346" ht="15.75" customHeight="1">
      <c r="A346" s="106"/>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c r="BK346" s="75"/>
      <c r="BL346" s="75"/>
      <c r="BM346" s="75"/>
      <c r="BN346" s="75"/>
      <c r="BO346" s="75"/>
      <c r="BP346" s="75"/>
      <c r="BQ346" s="75"/>
      <c r="BR346" s="75"/>
      <c r="BS346" s="75"/>
    </row>
    <row r="347" ht="15.75" customHeight="1">
      <c r="A347" s="106"/>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c r="BK347" s="75"/>
      <c r="BL347" s="75"/>
      <c r="BM347" s="75"/>
      <c r="BN347" s="75"/>
      <c r="BO347" s="75"/>
      <c r="BP347" s="75"/>
      <c r="BQ347" s="75"/>
      <c r="BR347" s="75"/>
      <c r="BS347" s="75"/>
    </row>
    <row r="348" ht="15.75" customHeight="1">
      <c r="A348" s="106"/>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c r="BK348" s="75"/>
      <c r="BL348" s="75"/>
      <c r="BM348" s="75"/>
      <c r="BN348" s="75"/>
      <c r="BO348" s="75"/>
      <c r="BP348" s="75"/>
      <c r="BQ348" s="75"/>
      <c r="BR348" s="75"/>
      <c r="BS348" s="75"/>
    </row>
    <row r="349" ht="15.75" customHeight="1">
      <c r="A349" s="106"/>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c r="BJ349" s="75"/>
      <c r="BK349" s="75"/>
      <c r="BL349" s="75"/>
      <c r="BM349" s="75"/>
      <c r="BN349" s="75"/>
      <c r="BO349" s="75"/>
      <c r="BP349" s="75"/>
      <c r="BQ349" s="75"/>
      <c r="BR349" s="75"/>
      <c r="BS349" s="75"/>
    </row>
    <row r="350" ht="15.75" customHeight="1">
      <c r="A350" s="106"/>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c r="BO350" s="75"/>
      <c r="BP350" s="75"/>
      <c r="BQ350" s="75"/>
      <c r="BR350" s="75"/>
      <c r="BS350" s="75"/>
    </row>
    <row r="351" ht="15.75" customHeight="1">
      <c r="A351" s="106"/>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c r="BK351" s="75"/>
      <c r="BL351" s="75"/>
      <c r="BM351" s="75"/>
      <c r="BN351" s="75"/>
      <c r="BO351" s="75"/>
      <c r="BP351" s="75"/>
      <c r="BQ351" s="75"/>
      <c r="BR351" s="75"/>
      <c r="BS351" s="75"/>
    </row>
    <row r="352" ht="15.75" customHeight="1">
      <c r="A352" s="106"/>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c r="BO352" s="75"/>
      <c r="BP352" s="75"/>
      <c r="BQ352" s="75"/>
      <c r="BR352" s="75"/>
      <c r="BS352" s="75"/>
    </row>
    <row r="353" ht="15.75" customHeight="1">
      <c r="A353" s="106"/>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c r="BJ353" s="75"/>
      <c r="BK353" s="75"/>
      <c r="BL353" s="75"/>
      <c r="BM353" s="75"/>
      <c r="BN353" s="75"/>
      <c r="BO353" s="75"/>
      <c r="BP353" s="75"/>
      <c r="BQ353" s="75"/>
      <c r="BR353" s="75"/>
      <c r="BS353" s="75"/>
    </row>
    <row r="354" ht="15.75" customHeight="1">
      <c r="A354" s="106"/>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c r="BK354" s="75"/>
      <c r="BL354" s="75"/>
      <c r="BM354" s="75"/>
      <c r="BN354" s="75"/>
      <c r="BO354" s="75"/>
      <c r="BP354" s="75"/>
      <c r="BQ354" s="75"/>
      <c r="BR354" s="75"/>
      <c r="BS354" s="75"/>
    </row>
    <row r="355" ht="15.75" customHeight="1">
      <c r="A355" s="106"/>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c r="BJ355" s="75"/>
      <c r="BK355" s="75"/>
      <c r="BL355" s="75"/>
      <c r="BM355" s="75"/>
      <c r="BN355" s="75"/>
      <c r="BO355" s="75"/>
      <c r="BP355" s="75"/>
      <c r="BQ355" s="75"/>
      <c r="BR355" s="75"/>
      <c r="BS355" s="75"/>
    </row>
    <row r="356" ht="15.75" customHeight="1">
      <c r="A356" s="106"/>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c r="BJ356" s="75"/>
      <c r="BK356" s="75"/>
      <c r="BL356" s="75"/>
      <c r="BM356" s="75"/>
      <c r="BN356" s="75"/>
      <c r="BO356" s="75"/>
      <c r="BP356" s="75"/>
      <c r="BQ356" s="75"/>
      <c r="BR356" s="75"/>
      <c r="BS356" s="75"/>
    </row>
    <row r="357" ht="15.75" customHeight="1">
      <c r="A357" s="106"/>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c r="BJ357" s="75"/>
      <c r="BK357" s="75"/>
      <c r="BL357" s="75"/>
      <c r="BM357" s="75"/>
      <c r="BN357" s="75"/>
      <c r="BO357" s="75"/>
      <c r="BP357" s="75"/>
      <c r="BQ357" s="75"/>
      <c r="BR357" s="75"/>
      <c r="BS357" s="75"/>
    </row>
    <row r="358" ht="15.75" customHeight="1">
      <c r="A358" s="106"/>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c r="BO358" s="75"/>
      <c r="BP358" s="75"/>
      <c r="BQ358" s="75"/>
      <c r="BR358" s="75"/>
      <c r="BS358" s="75"/>
    </row>
    <row r="359" ht="15.75" customHeight="1">
      <c r="A359" s="106"/>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c r="BK359" s="75"/>
      <c r="BL359" s="75"/>
      <c r="BM359" s="75"/>
      <c r="BN359" s="75"/>
      <c r="BO359" s="75"/>
      <c r="BP359" s="75"/>
      <c r="BQ359" s="75"/>
      <c r="BR359" s="75"/>
      <c r="BS359" s="75"/>
    </row>
    <row r="360" ht="15.75" customHeight="1">
      <c r="A360" s="106"/>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c r="BK360" s="75"/>
      <c r="BL360" s="75"/>
      <c r="BM360" s="75"/>
      <c r="BN360" s="75"/>
      <c r="BO360" s="75"/>
      <c r="BP360" s="75"/>
      <c r="BQ360" s="75"/>
      <c r="BR360" s="75"/>
      <c r="BS360" s="75"/>
    </row>
    <row r="361" ht="15.75" customHeight="1">
      <c r="A361" s="106"/>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c r="BJ361" s="75"/>
      <c r="BK361" s="75"/>
      <c r="BL361" s="75"/>
      <c r="BM361" s="75"/>
      <c r="BN361" s="75"/>
      <c r="BO361" s="75"/>
      <c r="BP361" s="75"/>
      <c r="BQ361" s="75"/>
      <c r="BR361" s="75"/>
      <c r="BS361" s="75"/>
    </row>
    <row r="362" ht="15.75" customHeight="1">
      <c r="A362" s="106"/>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c r="BK362" s="75"/>
      <c r="BL362" s="75"/>
      <c r="BM362" s="75"/>
      <c r="BN362" s="75"/>
      <c r="BO362" s="75"/>
      <c r="BP362" s="75"/>
      <c r="BQ362" s="75"/>
      <c r="BR362" s="75"/>
      <c r="BS362" s="75"/>
    </row>
    <row r="363" ht="15.75" customHeight="1">
      <c r="A363" s="106"/>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c r="BK363" s="75"/>
      <c r="BL363" s="75"/>
      <c r="BM363" s="75"/>
      <c r="BN363" s="75"/>
      <c r="BO363" s="75"/>
      <c r="BP363" s="75"/>
      <c r="BQ363" s="75"/>
      <c r="BR363" s="75"/>
      <c r="BS363" s="75"/>
    </row>
    <row r="364" ht="15.75" customHeight="1">
      <c r="A364" s="106"/>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c r="BO364" s="75"/>
      <c r="BP364" s="75"/>
      <c r="BQ364" s="75"/>
      <c r="BR364" s="75"/>
      <c r="BS364" s="75"/>
    </row>
    <row r="365" ht="15.75" customHeight="1">
      <c r="A365" s="106"/>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c r="BJ365" s="75"/>
      <c r="BK365" s="75"/>
      <c r="BL365" s="75"/>
      <c r="BM365" s="75"/>
      <c r="BN365" s="75"/>
      <c r="BO365" s="75"/>
      <c r="BP365" s="75"/>
      <c r="BQ365" s="75"/>
      <c r="BR365" s="75"/>
      <c r="BS365" s="75"/>
    </row>
    <row r="366" ht="15.75" customHeight="1">
      <c r="A366" s="106"/>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c r="BJ366" s="75"/>
      <c r="BK366" s="75"/>
      <c r="BL366" s="75"/>
      <c r="BM366" s="75"/>
      <c r="BN366" s="75"/>
      <c r="BO366" s="75"/>
      <c r="BP366" s="75"/>
      <c r="BQ366" s="75"/>
      <c r="BR366" s="75"/>
      <c r="BS366" s="75"/>
    </row>
    <row r="367" ht="15.75" customHeight="1">
      <c r="A367" s="106"/>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c r="BJ367" s="75"/>
      <c r="BK367" s="75"/>
      <c r="BL367" s="75"/>
      <c r="BM367" s="75"/>
      <c r="BN367" s="75"/>
      <c r="BO367" s="75"/>
      <c r="BP367" s="75"/>
      <c r="BQ367" s="75"/>
      <c r="BR367" s="75"/>
      <c r="BS367" s="75"/>
    </row>
    <row r="368" ht="15.75" customHeight="1">
      <c r="A368" s="106"/>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c r="BJ368" s="75"/>
      <c r="BK368" s="75"/>
      <c r="BL368" s="75"/>
      <c r="BM368" s="75"/>
      <c r="BN368" s="75"/>
      <c r="BO368" s="75"/>
      <c r="BP368" s="75"/>
      <c r="BQ368" s="75"/>
      <c r="BR368" s="75"/>
      <c r="BS368" s="75"/>
    </row>
    <row r="369" ht="15.75" customHeight="1">
      <c r="A369" s="106"/>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c r="BJ369" s="75"/>
      <c r="BK369" s="75"/>
      <c r="BL369" s="75"/>
      <c r="BM369" s="75"/>
      <c r="BN369" s="75"/>
      <c r="BO369" s="75"/>
      <c r="BP369" s="75"/>
      <c r="BQ369" s="75"/>
      <c r="BR369" s="75"/>
      <c r="BS369" s="75"/>
    </row>
    <row r="370" ht="15.75" customHeight="1">
      <c r="A370" s="106"/>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c r="BK370" s="75"/>
      <c r="BL370" s="75"/>
      <c r="BM370" s="75"/>
      <c r="BN370" s="75"/>
      <c r="BO370" s="75"/>
      <c r="BP370" s="75"/>
      <c r="BQ370" s="75"/>
      <c r="BR370" s="75"/>
      <c r="BS370" s="75"/>
    </row>
    <row r="371" ht="15.75" customHeight="1">
      <c r="A371" s="106"/>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c r="BK371" s="75"/>
      <c r="BL371" s="75"/>
      <c r="BM371" s="75"/>
      <c r="BN371" s="75"/>
      <c r="BO371" s="75"/>
      <c r="BP371" s="75"/>
      <c r="BQ371" s="75"/>
      <c r="BR371" s="75"/>
      <c r="BS371" s="75"/>
    </row>
    <row r="372" ht="15.75" customHeight="1">
      <c r="A372" s="106"/>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c r="BJ372" s="75"/>
      <c r="BK372" s="75"/>
      <c r="BL372" s="75"/>
      <c r="BM372" s="75"/>
      <c r="BN372" s="75"/>
      <c r="BO372" s="75"/>
      <c r="BP372" s="75"/>
      <c r="BQ372" s="75"/>
      <c r="BR372" s="75"/>
      <c r="BS372" s="75"/>
    </row>
    <row r="373" ht="15.75" customHeight="1">
      <c r="A373" s="106"/>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c r="BJ373" s="75"/>
      <c r="BK373" s="75"/>
      <c r="BL373" s="75"/>
      <c r="BM373" s="75"/>
      <c r="BN373" s="75"/>
      <c r="BO373" s="75"/>
      <c r="BP373" s="75"/>
      <c r="BQ373" s="75"/>
      <c r="BR373" s="75"/>
      <c r="BS373" s="75"/>
    </row>
    <row r="374" ht="15.75" customHeight="1">
      <c r="A374" s="106"/>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c r="BJ374" s="75"/>
      <c r="BK374" s="75"/>
      <c r="BL374" s="75"/>
      <c r="BM374" s="75"/>
      <c r="BN374" s="75"/>
      <c r="BO374" s="75"/>
      <c r="BP374" s="75"/>
      <c r="BQ374" s="75"/>
      <c r="BR374" s="75"/>
      <c r="BS374" s="75"/>
    </row>
    <row r="375" ht="15.75" customHeight="1">
      <c r="A375" s="106"/>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c r="BJ375" s="75"/>
      <c r="BK375" s="75"/>
      <c r="BL375" s="75"/>
      <c r="BM375" s="75"/>
      <c r="BN375" s="75"/>
      <c r="BO375" s="75"/>
      <c r="BP375" s="75"/>
      <c r="BQ375" s="75"/>
      <c r="BR375" s="75"/>
      <c r="BS375" s="75"/>
    </row>
    <row r="376" ht="15.75" customHeight="1">
      <c r="A376" s="106"/>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c r="BJ376" s="75"/>
      <c r="BK376" s="75"/>
      <c r="BL376" s="75"/>
      <c r="BM376" s="75"/>
      <c r="BN376" s="75"/>
      <c r="BO376" s="75"/>
      <c r="BP376" s="75"/>
      <c r="BQ376" s="75"/>
      <c r="BR376" s="75"/>
      <c r="BS376" s="75"/>
    </row>
    <row r="377" ht="15.75" customHeight="1">
      <c r="A377" s="106"/>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c r="BJ377" s="75"/>
      <c r="BK377" s="75"/>
      <c r="BL377" s="75"/>
      <c r="BM377" s="75"/>
      <c r="BN377" s="75"/>
      <c r="BO377" s="75"/>
      <c r="BP377" s="75"/>
      <c r="BQ377" s="75"/>
      <c r="BR377" s="75"/>
      <c r="BS377" s="75"/>
    </row>
    <row r="378" ht="15.75" customHeight="1">
      <c r="A378" s="106"/>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c r="BJ378" s="75"/>
      <c r="BK378" s="75"/>
      <c r="BL378" s="75"/>
      <c r="BM378" s="75"/>
      <c r="BN378" s="75"/>
      <c r="BO378" s="75"/>
      <c r="BP378" s="75"/>
      <c r="BQ378" s="75"/>
      <c r="BR378" s="75"/>
      <c r="BS378" s="75"/>
    </row>
    <row r="379" ht="15.75" customHeight="1">
      <c r="A379" s="106"/>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c r="BJ379" s="75"/>
      <c r="BK379" s="75"/>
      <c r="BL379" s="75"/>
      <c r="BM379" s="75"/>
      <c r="BN379" s="75"/>
      <c r="BO379" s="75"/>
      <c r="BP379" s="75"/>
      <c r="BQ379" s="75"/>
      <c r="BR379" s="75"/>
      <c r="BS379" s="75"/>
    </row>
    <row r="380" ht="15.75" customHeight="1">
      <c r="A380" s="106"/>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c r="BN380" s="75"/>
      <c r="BO380" s="75"/>
      <c r="BP380" s="75"/>
      <c r="BQ380" s="75"/>
      <c r="BR380" s="75"/>
      <c r="BS380" s="75"/>
    </row>
    <row r="381" ht="15.75" customHeight="1">
      <c r="A381" s="106"/>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c r="BJ381" s="75"/>
      <c r="BK381" s="75"/>
      <c r="BL381" s="75"/>
      <c r="BM381" s="75"/>
      <c r="BN381" s="75"/>
      <c r="BO381" s="75"/>
      <c r="BP381" s="75"/>
      <c r="BQ381" s="75"/>
      <c r="BR381" s="75"/>
      <c r="BS381" s="75"/>
    </row>
    <row r="382" ht="15.75" customHeight="1">
      <c r="A382" s="106"/>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c r="BJ382" s="75"/>
      <c r="BK382" s="75"/>
      <c r="BL382" s="75"/>
      <c r="BM382" s="75"/>
      <c r="BN382" s="75"/>
      <c r="BO382" s="75"/>
      <c r="BP382" s="75"/>
      <c r="BQ382" s="75"/>
      <c r="BR382" s="75"/>
      <c r="BS382" s="75"/>
    </row>
    <row r="383" ht="15.75" customHeight="1">
      <c r="A383" s="106"/>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c r="BJ383" s="75"/>
      <c r="BK383" s="75"/>
      <c r="BL383" s="75"/>
      <c r="BM383" s="75"/>
      <c r="BN383" s="75"/>
      <c r="BO383" s="75"/>
      <c r="BP383" s="75"/>
      <c r="BQ383" s="75"/>
      <c r="BR383" s="75"/>
      <c r="BS383" s="75"/>
    </row>
    <row r="384" ht="15.75" customHeight="1">
      <c r="A384" s="106"/>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c r="BJ384" s="75"/>
      <c r="BK384" s="75"/>
      <c r="BL384" s="75"/>
      <c r="BM384" s="75"/>
      <c r="BN384" s="75"/>
      <c r="BO384" s="75"/>
      <c r="BP384" s="75"/>
      <c r="BQ384" s="75"/>
      <c r="BR384" s="75"/>
      <c r="BS384" s="75"/>
    </row>
    <row r="385" ht="15.75" customHeight="1">
      <c r="A385" s="106"/>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c r="BJ385" s="75"/>
      <c r="BK385" s="75"/>
      <c r="BL385" s="75"/>
      <c r="BM385" s="75"/>
      <c r="BN385" s="75"/>
      <c r="BO385" s="75"/>
      <c r="BP385" s="75"/>
      <c r="BQ385" s="75"/>
      <c r="BR385" s="75"/>
      <c r="BS385" s="75"/>
    </row>
    <row r="386" ht="15.75" customHeight="1">
      <c r="A386" s="106"/>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c r="BK386" s="75"/>
      <c r="BL386" s="75"/>
      <c r="BM386" s="75"/>
      <c r="BN386" s="75"/>
      <c r="BO386" s="75"/>
      <c r="BP386" s="75"/>
      <c r="BQ386" s="75"/>
      <c r="BR386" s="75"/>
      <c r="BS386" s="75"/>
    </row>
    <row r="387" ht="15.75" customHeight="1">
      <c r="A387" s="106"/>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c r="BJ387" s="75"/>
      <c r="BK387" s="75"/>
      <c r="BL387" s="75"/>
      <c r="BM387" s="75"/>
      <c r="BN387" s="75"/>
      <c r="BO387" s="75"/>
      <c r="BP387" s="75"/>
      <c r="BQ387" s="75"/>
      <c r="BR387" s="75"/>
      <c r="BS387" s="75"/>
    </row>
    <row r="388" ht="15.75" customHeight="1">
      <c r="A388" s="106"/>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c r="BJ388" s="75"/>
      <c r="BK388" s="75"/>
      <c r="BL388" s="75"/>
      <c r="BM388" s="75"/>
      <c r="BN388" s="75"/>
      <c r="BO388" s="75"/>
      <c r="BP388" s="75"/>
      <c r="BQ388" s="75"/>
      <c r="BR388" s="75"/>
      <c r="BS388" s="75"/>
    </row>
    <row r="389" ht="15.75" customHeight="1">
      <c r="A389" s="106"/>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c r="BK389" s="75"/>
      <c r="BL389" s="75"/>
      <c r="BM389" s="75"/>
      <c r="BN389" s="75"/>
      <c r="BO389" s="75"/>
      <c r="BP389" s="75"/>
      <c r="BQ389" s="75"/>
      <c r="BR389" s="75"/>
      <c r="BS389" s="75"/>
    </row>
    <row r="390" ht="15.75" customHeight="1">
      <c r="A390" s="106"/>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c r="BK390" s="75"/>
      <c r="BL390" s="75"/>
      <c r="BM390" s="75"/>
      <c r="BN390" s="75"/>
      <c r="BO390" s="75"/>
      <c r="BP390" s="75"/>
      <c r="BQ390" s="75"/>
      <c r="BR390" s="75"/>
      <c r="BS390" s="75"/>
    </row>
    <row r="391" ht="15.75" customHeight="1">
      <c r="A391" s="106"/>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c r="BK391" s="75"/>
      <c r="BL391" s="75"/>
      <c r="BM391" s="75"/>
      <c r="BN391" s="75"/>
      <c r="BO391" s="75"/>
      <c r="BP391" s="75"/>
      <c r="BQ391" s="75"/>
      <c r="BR391" s="75"/>
      <c r="BS391" s="75"/>
    </row>
    <row r="392" ht="15.75" customHeight="1">
      <c r="A392" s="106"/>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c r="BK392" s="75"/>
      <c r="BL392" s="75"/>
      <c r="BM392" s="75"/>
      <c r="BN392" s="75"/>
      <c r="BO392" s="75"/>
      <c r="BP392" s="75"/>
      <c r="BQ392" s="75"/>
      <c r="BR392" s="75"/>
      <c r="BS392" s="75"/>
    </row>
    <row r="393" ht="15.75" customHeight="1">
      <c r="A393" s="106"/>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c r="BK393" s="75"/>
      <c r="BL393" s="75"/>
      <c r="BM393" s="75"/>
      <c r="BN393" s="75"/>
      <c r="BO393" s="75"/>
      <c r="BP393" s="75"/>
      <c r="BQ393" s="75"/>
      <c r="BR393" s="75"/>
      <c r="BS393" s="75"/>
    </row>
    <row r="394" ht="15.75" customHeight="1">
      <c r="A394" s="106"/>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c r="BK394" s="75"/>
      <c r="BL394" s="75"/>
      <c r="BM394" s="75"/>
      <c r="BN394" s="75"/>
      <c r="BO394" s="75"/>
      <c r="BP394" s="75"/>
      <c r="BQ394" s="75"/>
      <c r="BR394" s="75"/>
      <c r="BS394" s="75"/>
    </row>
    <row r="395" ht="15.75" customHeight="1">
      <c r="A395" s="106"/>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c r="BK395" s="75"/>
      <c r="BL395" s="75"/>
      <c r="BM395" s="75"/>
      <c r="BN395" s="75"/>
      <c r="BO395" s="75"/>
      <c r="BP395" s="75"/>
      <c r="BQ395" s="75"/>
      <c r="BR395" s="75"/>
      <c r="BS395" s="75"/>
    </row>
    <row r="396" ht="15.75" customHeight="1">
      <c r="A396" s="106"/>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c r="BJ396" s="75"/>
      <c r="BK396" s="75"/>
      <c r="BL396" s="75"/>
      <c r="BM396" s="75"/>
      <c r="BN396" s="75"/>
      <c r="BO396" s="75"/>
      <c r="BP396" s="75"/>
      <c r="BQ396" s="75"/>
      <c r="BR396" s="75"/>
      <c r="BS396" s="75"/>
    </row>
    <row r="397" ht="15.75" customHeight="1">
      <c r="A397" s="106"/>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c r="BJ397" s="75"/>
      <c r="BK397" s="75"/>
      <c r="BL397" s="75"/>
      <c r="BM397" s="75"/>
      <c r="BN397" s="75"/>
      <c r="BO397" s="75"/>
      <c r="BP397" s="75"/>
      <c r="BQ397" s="75"/>
      <c r="BR397" s="75"/>
      <c r="BS397" s="75"/>
    </row>
    <row r="398" ht="15.75" customHeight="1">
      <c r="A398" s="106"/>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c r="BJ398" s="75"/>
      <c r="BK398" s="75"/>
      <c r="BL398" s="75"/>
      <c r="BM398" s="75"/>
      <c r="BN398" s="75"/>
      <c r="BO398" s="75"/>
      <c r="BP398" s="75"/>
      <c r="BQ398" s="75"/>
      <c r="BR398" s="75"/>
      <c r="BS398" s="75"/>
    </row>
    <row r="399" ht="15.75" customHeight="1">
      <c r="A399" s="106"/>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c r="BJ399" s="75"/>
      <c r="BK399" s="75"/>
      <c r="BL399" s="75"/>
      <c r="BM399" s="75"/>
      <c r="BN399" s="75"/>
      <c r="BO399" s="75"/>
      <c r="BP399" s="75"/>
      <c r="BQ399" s="75"/>
      <c r="BR399" s="75"/>
      <c r="BS399" s="75"/>
    </row>
    <row r="400" ht="15.75" customHeight="1">
      <c r="A400" s="106"/>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c r="BK400" s="75"/>
      <c r="BL400" s="75"/>
      <c r="BM400" s="75"/>
      <c r="BN400" s="75"/>
      <c r="BO400" s="75"/>
      <c r="BP400" s="75"/>
      <c r="BQ400" s="75"/>
      <c r="BR400" s="75"/>
      <c r="BS400" s="75"/>
    </row>
    <row r="401" ht="15.75" customHeight="1">
      <c r="A401" s="106"/>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c r="BJ401" s="75"/>
      <c r="BK401" s="75"/>
      <c r="BL401" s="75"/>
      <c r="BM401" s="75"/>
      <c r="BN401" s="75"/>
      <c r="BO401" s="75"/>
      <c r="BP401" s="75"/>
      <c r="BQ401" s="75"/>
      <c r="BR401" s="75"/>
      <c r="BS401" s="75"/>
    </row>
    <row r="402" ht="15.75" customHeight="1">
      <c r="A402" s="106"/>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c r="BK402" s="75"/>
      <c r="BL402" s="75"/>
      <c r="BM402" s="75"/>
      <c r="BN402" s="75"/>
      <c r="BO402" s="75"/>
      <c r="BP402" s="75"/>
      <c r="BQ402" s="75"/>
      <c r="BR402" s="75"/>
      <c r="BS402" s="75"/>
    </row>
    <row r="403" ht="15.75" customHeight="1">
      <c r="A403" s="106"/>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c r="BK403" s="75"/>
      <c r="BL403" s="75"/>
      <c r="BM403" s="75"/>
      <c r="BN403" s="75"/>
      <c r="BO403" s="75"/>
      <c r="BP403" s="75"/>
      <c r="BQ403" s="75"/>
      <c r="BR403" s="75"/>
      <c r="BS403" s="75"/>
    </row>
    <row r="404" ht="15.75" customHeight="1">
      <c r="A404" s="106"/>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c r="BK404" s="75"/>
      <c r="BL404" s="75"/>
      <c r="BM404" s="75"/>
      <c r="BN404" s="75"/>
      <c r="BO404" s="75"/>
      <c r="BP404" s="75"/>
      <c r="BQ404" s="75"/>
      <c r="BR404" s="75"/>
      <c r="BS404" s="75"/>
    </row>
    <row r="405" ht="15.75" customHeight="1">
      <c r="A405" s="106"/>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c r="BK405" s="75"/>
      <c r="BL405" s="75"/>
      <c r="BM405" s="75"/>
      <c r="BN405" s="75"/>
      <c r="BO405" s="75"/>
      <c r="BP405" s="75"/>
      <c r="BQ405" s="75"/>
      <c r="BR405" s="75"/>
      <c r="BS405" s="75"/>
    </row>
    <row r="406" ht="15.75" customHeight="1">
      <c r="A406" s="106"/>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c r="BK406" s="75"/>
      <c r="BL406" s="75"/>
      <c r="BM406" s="75"/>
      <c r="BN406" s="75"/>
      <c r="BO406" s="75"/>
      <c r="BP406" s="75"/>
      <c r="BQ406" s="75"/>
      <c r="BR406" s="75"/>
      <c r="BS406" s="75"/>
    </row>
    <row r="407" ht="15.75" customHeight="1">
      <c r="A407" s="106"/>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c r="BK407" s="75"/>
      <c r="BL407" s="75"/>
      <c r="BM407" s="75"/>
      <c r="BN407" s="75"/>
      <c r="BO407" s="75"/>
      <c r="BP407" s="75"/>
      <c r="BQ407" s="75"/>
      <c r="BR407" s="75"/>
      <c r="BS407" s="75"/>
    </row>
    <row r="408" ht="15.75" customHeight="1">
      <c r="A408" s="106"/>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c r="BK408" s="75"/>
      <c r="BL408" s="75"/>
      <c r="BM408" s="75"/>
      <c r="BN408" s="75"/>
      <c r="BO408" s="75"/>
      <c r="BP408" s="75"/>
      <c r="BQ408" s="75"/>
      <c r="BR408" s="75"/>
      <c r="BS408" s="75"/>
    </row>
    <row r="409" ht="15.75" customHeight="1">
      <c r="A409" s="106"/>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c r="BJ409" s="75"/>
      <c r="BK409" s="75"/>
      <c r="BL409" s="75"/>
      <c r="BM409" s="75"/>
      <c r="BN409" s="75"/>
      <c r="BO409" s="75"/>
      <c r="BP409" s="75"/>
      <c r="BQ409" s="75"/>
      <c r="BR409" s="75"/>
      <c r="BS409" s="75"/>
    </row>
    <row r="410" ht="15.75" customHeight="1">
      <c r="A410" s="106"/>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c r="BK410" s="75"/>
      <c r="BL410" s="75"/>
      <c r="BM410" s="75"/>
      <c r="BN410" s="75"/>
      <c r="BO410" s="75"/>
      <c r="BP410" s="75"/>
      <c r="BQ410" s="75"/>
      <c r="BR410" s="75"/>
      <c r="BS410" s="75"/>
    </row>
    <row r="411" ht="15.75" customHeight="1">
      <c r="A411" s="106"/>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c r="BK411" s="75"/>
      <c r="BL411" s="75"/>
      <c r="BM411" s="75"/>
      <c r="BN411" s="75"/>
      <c r="BO411" s="75"/>
      <c r="BP411" s="75"/>
      <c r="BQ411" s="75"/>
      <c r="BR411" s="75"/>
      <c r="BS411" s="75"/>
    </row>
    <row r="412" ht="15.75" customHeight="1">
      <c r="A412" s="106"/>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c r="BK412" s="75"/>
      <c r="BL412" s="75"/>
      <c r="BM412" s="75"/>
      <c r="BN412" s="75"/>
      <c r="BO412" s="75"/>
      <c r="BP412" s="75"/>
      <c r="BQ412" s="75"/>
      <c r="BR412" s="75"/>
      <c r="BS412" s="75"/>
    </row>
    <row r="413" ht="15.75" customHeight="1">
      <c r="A413" s="106"/>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c r="BJ413" s="75"/>
      <c r="BK413" s="75"/>
      <c r="BL413" s="75"/>
      <c r="BM413" s="75"/>
      <c r="BN413" s="75"/>
      <c r="BO413" s="75"/>
      <c r="BP413" s="75"/>
      <c r="BQ413" s="75"/>
      <c r="BR413" s="75"/>
      <c r="BS413" s="75"/>
    </row>
    <row r="414" ht="15.75" customHeight="1">
      <c r="A414" s="106"/>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c r="BK414" s="75"/>
      <c r="BL414" s="75"/>
      <c r="BM414" s="75"/>
      <c r="BN414" s="75"/>
      <c r="BO414" s="75"/>
      <c r="BP414" s="75"/>
      <c r="BQ414" s="75"/>
      <c r="BR414" s="75"/>
      <c r="BS414" s="75"/>
    </row>
    <row r="415" ht="15.75" customHeight="1">
      <c r="A415" s="106"/>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c r="BJ415" s="75"/>
      <c r="BK415" s="75"/>
      <c r="BL415" s="75"/>
      <c r="BM415" s="75"/>
      <c r="BN415" s="75"/>
      <c r="BO415" s="75"/>
      <c r="BP415" s="75"/>
      <c r="BQ415" s="75"/>
      <c r="BR415" s="75"/>
      <c r="BS415" s="75"/>
    </row>
    <row r="416" ht="15.75" customHeight="1">
      <c r="A416" s="106"/>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c r="BJ416" s="75"/>
      <c r="BK416" s="75"/>
      <c r="BL416" s="75"/>
      <c r="BM416" s="75"/>
      <c r="BN416" s="75"/>
      <c r="BO416" s="75"/>
      <c r="BP416" s="75"/>
      <c r="BQ416" s="75"/>
      <c r="BR416" s="75"/>
      <c r="BS416" s="75"/>
    </row>
    <row r="417" ht="15.75" customHeight="1">
      <c r="A417" s="106"/>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c r="BJ417" s="75"/>
      <c r="BK417" s="75"/>
      <c r="BL417" s="75"/>
      <c r="BM417" s="75"/>
      <c r="BN417" s="75"/>
      <c r="BO417" s="75"/>
      <c r="BP417" s="75"/>
      <c r="BQ417" s="75"/>
      <c r="BR417" s="75"/>
      <c r="BS417" s="75"/>
    </row>
    <row r="418" ht="15.75" customHeight="1">
      <c r="A418" s="106"/>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c r="BJ418" s="75"/>
      <c r="BK418" s="75"/>
      <c r="BL418" s="75"/>
      <c r="BM418" s="75"/>
      <c r="BN418" s="75"/>
      <c r="BO418" s="75"/>
      <c r="BP418" s="75"/>
      <c r="BQ418" s="75"/>
      <c r="BR418" s="75"/>
      <c r="BS418" s="75"/>
    </row>
    <row r="419" ht="15.75" customHeight="1">
      <c r="A419" s="106"/>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c r="BJ419" s="75"/>
      <c r="BK419" s="75"/>
      <c r="BL419" s="75"/>
      <c r="BM419" s="75"/>
      <c r="BN419" s="75"/>
      <c r="BO419" s="75"/>
      <c r="BP419" s="75"/>
      <c r="BQ419" s="75"/>
      <c r="BR419" s="75"/>
      <c r="BS419" s="75"/>
    </row>
    <row r="420" ht="15.75" customHeight="1">
      <c r="A420" s="106"/>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c r="BJ420" s="75"/>
      <c r="BK420" s="75"/>
      <c r="BL420" s="75"/>
      <c r="BM420" s="75"/>
      <c r="BN420" s="75"/>
      <c r="BO420" s="75"/>
      <c r="BP420" s="75"/>
      <c r="BQ420" s="75"/>
      <c r="BR420" s="75"/>
      <c r="BS420" s="75"/>
    </row>
    <row r="421" ht="15.75" customHeight="1">
      <c r="A421" s="106"/>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c r="BJ421" s="75"/>
      <c r="BK421" s="75"/>
      <c r="BL421" s="75"/>
      <c r="BM421" s="75"/>
      <c r="BN421" s="75"/>
      <c r="BO421" s="75"/>
      <c r="BP421" s="75"/>
      <c r="BQ421" s="75"/>
      <c r="BR421" s="75"/>
      <c r="BS421" s="75"/>
    </row>
    <row r="422" ht="15.75" customHeight="1">
      <c r="A422" s="106"/>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75"/>
      <c r="BI422" s="75"/>
      <c r="BJ422" s="75"/>
      <c r="BK422" s="75"/>
      <c r="BL422" s="75"/>
      <c r="BM422" s="75"/>
      <c r="BN422" s="75"/>
      <c r="BO422" s="75"/>
      <c r="BP422" s="75"/>
      <c r="BQ422" s="75"/>
      <c r="BR422" s="75"/>
      <c r="BS422" s="75"/>
    </row>
    <row r="423" ht="15.75" customHeight="1">
      <c r="A423" s="106"/>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c r="BK423" s="75"/>
      <c r="BL423" s="75"/>
      <c r="BM423" s="75"/>
      <c r="BN423" s="75"/>
      <c r="BO423" s="75"/>
      <c r="BP423" s="75"/>
      <c r="BQ423" s="75"/>
      <c r="BR423" s="75"/>
      <c r="BS423" s="75"/>
    </row>
    <row r="424" ht="15.75" customHeight="1">
      <c r="A424" s="106"/>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c r="BK424" s="75"/>
      <c r="BL424" s="75"/>
      <c r="BM424" s="75"/>
      <c r="BN424" s="75"/>
      <c r="BO424" s="75"/>
      <c r="BP424" s="75"/>
      <c r="BQ424" s="75"/>
      <c r="BR424" s="75"/>
      <c r="BS424" s="75"/>
    </row>
    <row r="425" ht="15.75" customHeight="1">
      <c r="A425" s="106"/>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c r="BK425" s="75"/>
      <c r="BL425" s="75"/>
      <c r="BM425" s="75"/>
      <c r="BN425" s="75"/>
      <c r="BO425" s="75"/>
      <c r="BP425" s="75"/>
      <c r="BQ425" s="75"/>
      <c r="BR425" s="75"/>
      <c r="BS425" s="75"/>
    </row>
    <row r="426" ht="15.75" customHeight="1">
      <c r="A426" s="106"/>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c r="BJ426" s="75"/>
      <c r="BK426" s="75"/>
      <c r="BL426" s="75"/>
      <c r="BM426" s="75"/>
      <c r="BN426" s="75"/>
      <c r="BO426" s="75"/>
      <c r="BP426" s="75"/>
      <c r="BQ426" s="75"/>
      <c r="BR426" s="75"/>
      <c r="BS426" s="75"/>
    </row>
    <row r="427" ht="15.75" customHeight="1">
      <c r="A427" s="106"/>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c r="BJ427" s="75"/>
      <c r="BK427" s="75"/>
      <c r="BL427" s="75"/>
      <c r="BM427" s="75"/>
      <c r="BN427" s="75"/>
      <c r="BO427" s="75"/>
      <c r="BP427" s="75"/>
      <c r="BQ427" s="75"/>
      <c r="BR427" s="75"/>
      <c r="BS427" s="75"/>
    </row>
    <row r="428" ht="15.75" customHeight="1">
      <c r="A428" s="106"/>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c r="BO428" s="75"/>
      <c r="BP428" s="75"/>
      <c r="BQ428" s="75"/>
      <c r="BR428" s="75"/>
      <c r="BS428" s="75"/>
    </row>
    <row r="429" ht="15.75" customHeight="1">
      <c r="A429" s="106"/>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c r="BK429" s="75"/>
      <c r="BL429" s="75"/>
      <c r="BM429" s="75"/>
      <c r="BN429" s="75"/>
      <c r="BO429" s="75"/>
      <c r="BP429" s="75"/>
      <c r="BQ429" s="75"/>
      <c r="BR429" s="75"/>
      <c r="BS429" s="75"/>
    </row>
    <row r="430" ht="15.75" customHeight="1">
      <c r="A430" s="106"/>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75"/>
      <c r="BI430" s="75"/>
      <c r="BJ430" s="75"/>
      <c r="BK430" s="75"/>
      <c r="BL430" s="75"/>
      <c r="BM430" s="75"/>
      <c r="BN430" s="75"/>
      <c r="BO430" s="75"/>
      <c r="BP430" s="75"/>
      <c r="BQ430" s="75"/>
      <c r="BR430" s="75"/>
      <c r="BS430" s="75"/>
    </row>
    <row r="431" ht="15.75" customHeight="1">
      <c r="A431" s="106"/>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c r="BJ431" s="75"/>
      <c r="BK431" s="75"/>
      <c r="BL431" s="75"/>
      <c r="BM431" s="75"/>
      <c r="BN431" s="75"/>
      <c r="BO431" s="75"/>
      <c r="BP431" s="75"/>
      <c r="BQ431" s="75"/>
      <c r="BR431" s="75"/>
      <c r="BS431" s="75"/>
    </row>
    <row r="432" ht="15.75" customHeight="1">
      <c r="A432" s="106"/>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75"/>
      <c r="BI432" s="75"/>
      <c r="BJ432" s="75"/>
      <c r="BK432" s="75"/>
      <c r="BL432" s="75"/>
      <c r="BM432" s="75"/>
      <c r="BN432" s="75"/>
      <c r="BO432" s="75"/>
      <c r="BP432" s="75"/>
      <c r="BQ432" s="75"/>
      <c r="BR432" s="75"/>
      <c r="BS432" s="75"/>
    </row>
    <row r="433" ht="15.75" customHeight="1">
      <c r="A433" s="106"/>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c r="BJ433" s="75"/>
      <c r="BK433" s="75"/>
      <c r="BL433" s="75"/>
      <c r="BM433" s="75"/>
      <c r="BN433" s="75"/>
      <c r="BO433" s="75"/>
      <c r="BP433" s="75"/>
      <c r="BQ433" s="75"/>
      <c r="BR433" s="75"/>
      <c r="BS433" s="75"/>
    </row>
    <row r="434" ht="15.75" customHeight="1">
      <c r="A434" s="106"/>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75"/>
      <c r="BI434" s="75"/>
      <c r="BJ434" s="75"/>
      <c r="BK434" s="75"/>
      <c r="BL434" s="75"/>
      <c r="BM434" s="75"/>
      <c r="BN434" s="75"/>
      <c r="BO434" s="75"/>
      <c r="BP434" s="75"/>
      <c r="BQ434" s="75"/>
      <c r="BR434" s="75"/>
      <c r="BS434" s="75"/>
    </row>
    <row r="435" ht="15.75" customHeight="1">
      <c r="A435" s="106"/>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75"/>
      <c r="BI435" s="75"/>
      <c r="BJ435" s="75"/>
      <c r="BK435" s="75"/>
      <c r="BL435" s="75"/>
      <c r="BM435" s="75"/>
      <c r="BN435" s="75"/>
      <c r="BO435" s="75"/>
      <c r="BP435" s="75"/>
      <c r="BQ435" s="75"/>
      <c r="BR435" s="75"/>
      <c r="BS435" s="75"/>
    </row>
    <row r="436" ht="15.75" customHeight="1">
      <c r="A436" s="106"/>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75"/>
      <c r="BI436" s="75"/>
      <c r="BJ436" s="75"/>
      <c r="BK436" s="75"/>
      <c r="BL436" s="75"/>
      <c r="BM436" s="75"/>
      <c r="BN436" s="75"/>
      <c r="BO436" s="75"/>
      <c r="BP436" s="75"/>
      <c r="BQ436" s="75"/>
      <c r="BR436" s="75"/>
      <c r="BS436" s="75"/>
    </row>
    <row r="437" ht="15.75" customHeight="1">
      <c r="A437" s="106"/>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c r="BJ437" s="75"/>
      <c r="BK437" s="75"/>
      <c r="BL437" s="75"/>
      <c r="BM437" s="75"/>
      <c r="BN437" s="75"/>
      <c r="BO437" s="75"/>
      <c r="BP437" s="75"/>
      <c r="BQ437" s="75"/>
      <c r="BR437" s="75"/>
      <c r="BS437" s="75"/>
    </row>
    <row r="438" ht="15.75" customHeight="1">
      <c r="A438" s="106"/>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c r="BJ438" s="75"/>
      <c r="BK438" s="75"/>
      <c r="BL438" s="75"/>
      <c r="BM438" s="75"/>
      <c r="BN438" s="75"/>
      <c r="BO438" s="75"/>
      <c r="BP438" s="75"/>
      <c r="BQ438" s="75"/>
      <c r="BR438" s="75"/>
      <c r="BS438" s="75"/>
    </row>
    <row r="439" ht="15.75" customHeight="1">
      <c r="A439" s="106"/>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c r="BJ439" s="75"/>
      <c r="BK439" s="75"/>
      <c r="BL439" s="75"/>
      <c r="BM439" s="75"/>
      <c r="BN439" s="75"/>
      <c r="BO439" s="75"/>
      <c r="BP439" s="75"/>
      <c r="BQ439" s="75"/>
      <c r="BR439" s="75"/>
      <c r="BS439" s="75"/>
    </row>
    <row r="440" ht="15.75" customHeight="1">
      <c r="A440" s="106"/>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c r="BK440" s="75"/>
      <c r="BL440" s="75"/>
      <c r="BM440" s="75"/>
      <c r="BN440" s="75"/>
      <c r="BO440" s="75"/>
      <c r="BP440" s="75"/>
      <c r="BQ440" s="75"/>
      <c r="BR440" s="75"/>
      <c r="BS440" s="75"/>
    </row>
    <row r="441" ht="15.75" customHeight="1">
      <c r="A441" s="106"/>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75"/>
      <c r="BI441" s="75"/>
      <c r="BJ441" s="75"/>
      <c r="BK441" s="75"/>
      <c r="BL441" s="75"/>
      <c r="BM441" s="75"/>
      <c r="BN441" s="75"/>
      <c r="BO441" s="75"/>
      <c r="BP441" s="75"/>
      <c r="BQ441" s="75"/>
      <c r="BR441" s="75"/>
      <c r="BS441" s="75"/>
    </row>
    <row r="442" ht="15.75" customHeight="1">
      <c r="A442" s="106"/>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75"/>
      <c r="BI442" s="75"/>
      <c r="BJ442" s="75"/>
      <c r="BK442" s="75"/>
      <c r="BL442" s="75"/>
      <c r="BM442" s="75"/>
      <c r="BN442" s="75"/>
      <c r="BO442" s="75"/>
      <c r="BP442" s="75"/>
      <c r="BQ442" s="75"/>
      <c r="BR442" s="75"/>
      <c r="BS442" s="75"/>
    </row>
    <row r="443" ht="15.75" customHeight="1">
      <c r="A443" s="106"/>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75"/>
      <c r="BI443" s="75"/>
      <c r="BJ443" s="75"/>
      <c r="BK443" s="75"/>
      <c r="BL443" s="75"/>
      <c r="BM443" s="75"/>
      <c r="BN443" s="75"/>
      <c r="BO443" s="75"/>
      <c r="BP443" s="75"/>
      <c r="BQ443" s="75"/>
      <c r="BR443" s="75"/>
      <c r="BS443" s="75"/>
    </row>
    <row r="444" ht="15.75" customHeight="1">
      <c r="A444" s="106"/>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75"/>
      <c r="BI444" s="75"/>
      <c r="BJ444" s="75"/>
      <c r="BK444" s="75"/>
      <c r="BL444" s="75"/>
      <c r="BM444" s="75"/>
      <c r="BN444" s="75"/>
      <c r="BO444" s="75"/>
      <c r="BP444" s="75"/>
      <c r="BQ444" s="75"/>
      <c r="BR444" s="75"/>
      <c r="BS444" s="75"/>
    </row>
    <row r="445" ht="15.75" customHeight="1">
      <c r="A445" s="106"/>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75"/>
      <c r="BI445" s="75"/>
      <c r="BJ445" s="75"/>
      <c r="BK445" s="75"/>
      <c r="BL445" s="75"/>
      <c r="BM445" s="75"/>
      <c r="BN445" s="75"/>
      <c r="BO445" s="75"/>
      <c r="BP445" s="75"/>
      <c r="BQ445" s="75"/>
      <c r="BR445" s="75"/>
      <c r="BS445" s="75"/>
    </row>
    <row r="446" ht="15.75" customHeight="1">
      <c r="A446" s="106"/>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75"/>
      <c r="BI446" s="75"/>
      <c r="BJ446" s="75"/>
      <c r="BK446" s="75"/>
      <c r="BL446" s="75"/>
      <c r="BM446" s="75"/>
      <c r="BN446" s="75"/>
      <c r="BO446" s="75"/>
      <c r="BP446" s="75"/>
      <c r="BQ446" s="75"/>
      <c r="BR446" s="75"/>
      <c r="BS446" s="75"/>
    </row>
    <row r="447" ht="15.75" customHeight="1">
      <c r="A447" s="106"/>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75"/>
      <c r="BI447" s="75"/>
      <c r="BJ447" s="75"/>
      <c r="BK447" s="75"/>
      <c r="BL447" s="75"/>
      <c r="BM447" s="75"/>
      <c r="BN447" s="75"/>
      <c r="BO447" s="75"/>
      <c r="BP447" s="75"/>
      <c r="BQ447" s="75"/>
      <c r="BR447" s="75"/>
      <c r="BS447" s="75"/>
    </row>
    <row r="448" ht="15.75" customHeight="1">
      <c r="A448" s="106"/>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75"/>
      <c r="BI448" s="75"/>
      <c r="BJ448" s="75"/>
      <c r="BK448" s="75"/>
      <c r="BL448" s="75"/>
      <c r="BM448" s="75"/>
      <c r="BN448" s="75"/>
      <c r="BO448" s="75"/>
      <c r="BP448" s="75"/>
      <c r="BQ448" s="75"/>
      <c r="BR448" s="75"/>
      <c r="BS448" s="75"/>
    </row>
    <row r="449" ht="15.75" customHeight="1">
      <c r="A449" s="106"/>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75"/>
      <c r="BI449" s="75"/>
      <c r="BJ449" s="75"/>
      <c r="BK449" s="75"/>
      <c r="BL449" s="75"/>
      <c r="BM449" s="75"/>
      <c r="BN449" s="75"/>
      <c r="BO449" s="75"/>
      <c r="BP449" s="75"/>
      <c r="BQ449" s="75"/>
      <c r="BR449" s="75"/>
      <c r="BS449" s="75"/>
    </row>
    <row r="450" ht="15.75" customHeight="1">
      <c r="A450" s="106"/>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75"/>
      <c r="BI450" s="75"/>
      <c r="BJ450" s="75"/>
      <c r="BK450" s="75"/>
      <c r="BL450" s="75"/>
      <c r="BM450" s="75"/>
      <c r="BN450" s="75"/>
      <c r="BO450" s="75"/>
      <c r="BP450" s="75"/>
      <c r="BQ450" s="75"/>
      <c r="BR450" s="75"/>
      <c r="BS450" s="75"/>
    </row>
    <row r="451" ht="15.75" customHeight="1">
      <c r="A451" s="106"/>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75"/>
      <c r="BI451" s="75"/>
      <c r="BJ451" s="75"/>
      <c r="BK451" s="75"/>
      <c r="BL451" s="75"/>
      <c r="BM451" s="75"/>
      <c r="BN451" s="75"/>
      <c r="BO451" s="75"/>
      <c r="BP451" s="75"/>
      <c r="BQ451" s="75"/>
      <c r="BR451" s="75"/>
      <c r="BS451" s="75"/>
    </row>
    <row r="452" ht="15.75" customHeight="1">
      <c r="A452" s="106"/>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c r="BJ452" s="75"/>
      <c r="BK452" s="75"/>
      <c r="BL452" s="75"/>
      <c r="BM452" s="75"/>
      <c r="BN452" s="75"/>
      <c r="BO452" s="75"/>
      <c r="BP452" s="75"/>
      <c r="BQ452" s="75"/>
      <c r="BR452" s="75"/>
      <c r="BS452" s="75"/>
    </row>
    <row r="453" ht="15.75" customHeight="1">
      <c r="A453" s="106"/>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75"/>
      <c r="BI453" s="75"/>
      <c r="BJ453" s="75"/>
      <c r="BK453" s="75"/>
      <c r="BL453" s="75"/>
      <c r="BM453" s="75"/>
      <c r="BN453" s="75"/>
      <c r="BO453" s="75"/>
      <c r="BP453" s="75"/>
      <c r="BQ453" s="75"/>
      <c r="BR453" s="75"/>
      <c r="BS453" s="75"/>
    </row>
    <row r="454" ht="15.75" customHeight="1">
      <c r="A454" s="106"/>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75"/>
      <c r="BI454" s="75"/>
      <c r="BJ454" s="75"/>
      <c r="BK454" s="75"/>
      <c r="BL454" s="75"/>
      <c r="BM454" s="75"/>
      <c r="BN454" s="75"/>
      <c r="BO454" s="75"/>
      <c r="BP454" s="75"/>
      <c r="BQ454" s="75"/>
      <c r="BR454" s="75"/>
      <c r="BS454" s="75"/>
    </row>
    <row r="455" ht="15.75" customHeight="1">
      <c r="A455" s="106"/>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c r="BJ455" s="75"/>
      <c r="BK455" s="75"/>
      <c r="BL455" s="75"/>
      <c r="BM455" s="75"/>
      <c r="BN455" s="75"/>
      <c r="BO455" s="75"/>
      <c r="BP455" s="75"/>
      <c r="BQ455" s="75"/>
      <c r="BR455" s="75"/>
      <c r="BS455" s="75"/>
    </row>
    <row r="456" ht="15.75" customHeight="1">
      <c r="A456" s="106"/>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c r="BJ456" s="75"/>
      <c r="BK456" s="75"/>
      <c r="BL456" s="75"/>
      <c r="BM456" s="75"/>
      <c r="BN456" s="75"/>
      <c r="BO456" s="75"/>
      <c r="BP456" s="75"/>
      <c r="BQ456" s="75"/>
      <c r="BR456" s="75"/>
      <c r="BS456" s="75"/>
    </row>
    <row r="457" ht="15.75" customHeight="1">
      <c r="A457" s="106"/>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75"/>
      <c r="BI457" s="75"/>
      <c r="BJ457" s="75"/>
      <c r="BK457" s="75"/>
      <c r="BL457" s="75"/>
      <c r="BM457" s="75"/>
      <c r="BN457" s="75"/>
      <c r="BO457" s="75"/>
      <c r="BP457" s="75"/>
      <c r="BQ457" s="75"/>
      <c r="BR457" s="75"/>
      <c r="BS457" s="75"/>
    </row>
    <row r="458" ht="15.75" customHeight="1">
      <c r="A458" s="106"/>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75"/>
      <c r="BI458" s="75"/>
      <c r="BJ458" s="75"/>
      <c r="BK458" s="75"/>
      <c r="BL458" s="75"/>
      <c r="BM458" s="75"/>
      <c r="BN458" s="75"/>
      <c r="BO458" s="75"/>
      <c r="BP458" s="75"/>
      <c r="BQ458" s="75"/>
      <c r="BR458" s="75"/>
      <c r="BS458" s="75"/>
    </row>
    <row r="459" ht="15.75" customHeight="1">
      <c r="A459" s="106"/>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75"/>
      <c r="BI459" s="75"/>
      <c r="BJ459" s="75"/>
      <c r="BK459" s="75"/>
      <c r="BL459" s="75"/>
      <c r="BM459" s="75"/>
      <c r="BN459" s="75"/>
      <c r="BO459" s="75"/>
      <c r="BP459" s="75"/>
      <c r="BQ459" s="75"/>
      <c r="BR459" s="75"/>
      <c r="BS459" s="75"/>
    </row>
    <row r="460" ht="15.75" customHeight="1">
      <c r="A460" s="106"/>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75"/>
      <c r="BI460" s="75"/>
      <c r="BJ460" s="75"/>
      <c r="BK460" s="75"/>
      <c r="BL460" s="75"/>
      <c r="BM460" s="75"/>
      <c r="BN460" s="75"/>
      <c r="BO460" s="75"/>
      <c r="BP460" s="75"/>
      <c r="BQ460" s="75"/>
      <c r="BR460" s="75"/>
      <c r="BS460" s="75"/>
    </row>
    <row r="461" ht="15.75" customHeight="1">
      <c r="A461" s="106"/>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75"/>
      <c r="BI461" s="75"/>
      <c r="BJ461" s="75"/>
      <c r="BK461" s="75"/>
      <c r="BL461" s="75"/>
      <c r="BM461" s="75"/>
      <c r="BN461" s="75"/>
      <c r="BO461" s="75"/>
      <c r="BP461" s="75"/>
      <c r="BQ461" s="75"/>
      <c r="BR461" s="75"/>
      <c r="BS461" s="75"/>
    </row>
    <row r="462" ht="15.75" customHeight="1">
      <c r="A462" s="106"/>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75"/>
      <c r="BI462" s="75"/>
      <c r="BJ462" s="75"/>
      <c r="BK462" s="75"/>
      <c r="BL462" s="75"/>
      <c r="BM462" s="75"/>
      <c r="BN462" s="75"/>
      <c r="BO462" s="75"/>
      <c r="BP462" s="75"/>
      <c r="BQ462" s="75"/>
      <c r="BR462" s="75"/>
      <c r="BS462" s="75"/>
    </row>
    <row r="463" ht="15.75" customHeight="1">
      <c r="A463" s="106"/>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c r="BJ463" s="75"/>
      <c r="BK463" s="75"/>
      <c r="BL463" s="75"/>
      <c r="BM463" s="75"/>
      <c r="BN463" s="75"/>
      <c r="BO463" s="75"/>
      <c r="BP463" s="75"/>
      <c r="BQ463" s="75"/>
      <c r="BR463" s="75"/>
      <c r="BS463" s="75"/>
    </row>
    <row r="464" ht="15.75" customHeight="1">
      <c r="A464" s="106"/>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c r="BJ464" s="75"/>
      <c r="BK464" s="75"/>
      <c r="BL464" s="75"/>
      <c r="BM464" s="75"/>
      <c r="BN464" s="75"/>
      <c r="BO464" s="75"/>
      <c r="BP464" s="75"/>
      <c r="BQ464" s="75"/>
      <c r="BR464" s="75"/>
      <c r="BS464" s="75"/>
    </row>
    <row r="465" ht="15.75" customHeight="1">
      <c r="A465" s="106"/>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c r="BJ465" s="75"/>
      <c r="BK465" s="75"/>
      <c r="BL465" s="75"/>
      <c r="BM465" s="75"/>
      <c r="BN465" s="75"/>
      <c r="BO465" s="75"/>
      <c r="BP465" s="75"/>
      <c r="BQ465" s="75"/>
      <c r="BR465" s="75"/>
      <c r="BS465" s="75"/>
    </row>
    <row r="466" ht="15.75" customHeight="1">
      <c r="A466" s="106"/>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75"/>
      <c r="BI466" s="75"/>
      <c r="BJ466" s="75"/>
      <c r="BK466" s="75"/>
      <c r="BL466" s="75"/>
      <c r="BM466" s="75"/>
      <c r="BN466" s="75"/>
      <c r="BO466" s="75"/>
      <c r="BP466" s="75"/>
      <c r="BQ466" s="75"/>
      <c r="BR466" s="75"/>
      <c r="BS466" s="75"/>
    </row>
    <row r="467" ht="15.75" customHeight="1">
      <c r="A467" s="106"/>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75"/>
      <c r="BI467" s="75"/>
      <c r="BJ467" s="75"/>
      <c r="BK467" s="75"/>
      <c r="BL467" s="75"/>
      <c r="BM467" s="75"/>
      <c r="BN467" s="75"/>
      <c r="BO467" s="75"/>
      <c r="BP467" s="75"/>
      <c r="BQ467" s="75"/>
      <c r="BR467" s="75"/>
      <c r="BS467" s="75"/>
    </row>
    <row r="468" ht="15.75" customHeight="1">
      <c r="A468" s="106"/>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c r="BJ468" s="75"/>
      <c r="BK468" s="75"/>
      <c r="BL468" s="75"/>
      <c r="BM468" s="75"/>
      <c r="BN468" s="75"/>
      <c r="BO468" s="75"/>
      <c r="BP468" s="75"/>
      <c r="BQ468" s="75"/>
      <c r="BR468" s="75"/>
      <c r="BS468" s="75"/>
    </row>
    <row r="469" ht="15.75" customHeight="1">
      <c r="A469" s="106"/>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75"/>
      <c r="BI469" s="75"/>
      <c r="BJ469" s="75"/>
      <c r="BK469" s="75"/>
      <c r="BL469" s="75"/>
      <c r="BM469" s="75"/>
      <c r="BN469" s="75"/>
      <c r="BO469" s="75"/>
      <c r="BP469" s="75"/>
      <c r="BQ469" s="75"/>
      <c r="BR469" s="75"/>
      <c r="BS469" s="75"/>
    </row>
    <row r="470" ht="15.75" customHeight="1">
      <c r="A470" s="106"/>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c r="BJ470" s="75"/>
      <c r="BK470" s="75"/>
      <c r="BL470" s="75"/>
      <c r="BM470" s="75"/>
      <c r="BN470" s="75"/>
      <c r="BO470" s="75"/>
      <c r="BP470" s="75"/>
      <c r="BQ470" s="75"/>
      <c r="BR470" s="75"/>
      <c r="BS470" s="75"/>
    </row>
    <row r="471" ht="15.75" customHeight="1">
      <c r="A471" s="106"/>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c r="BJ471" s="75"/>
      <c r="BK471" s="75"/>
      <c r="BL471" s="75"/>
      <c r="BM471" s="75"/>
      <c r="BN471" s="75"/>
      <c r="BO471" s="75"/>
      <c r="BP471" s="75"/>
      <c r="BQ471" s="75"/>
      <c r="BR471" s="75"/>
      <c r="BS471" s="75"/>
    </row>
    <row r="472" ht="15.75" customHeight="1">
      <c r="A472" s="106"/>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75"/>
      <c r="BI472" s="75"/>
      <c r="BJ472" s="75"/>
      <c r="BK472" s="75"/>
      <c r="BL472" s="75"/>
      <c r="BM472" s="75"/>
      <c r="BN472" s="75"/>
      <c r="BO472" s="75"/>
      <c r="BP472" s="75"/>
      <c r="BQ472" s="75"/>
      <c r="BR472" s="75"/>
      <c r="BS472" s="75"/>
    </row>
    <row r="473" ht="15.75" customHeight="1">
      <c r="A473" s="106"/>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c r="BJ473" s="75"/>
      <c r="BK473" s="75"/>
      <c r="BL473" s="75"/>
      <c r="BM473" s="75"/>
      <c r="BN473" s="75"/>
      <c r="BO473" s="75"/>
      <c r="BP473" s="75"/>
      <c r="BQ473" s="75"/>
      <c r="BR473" s="75"/>
      <c r="BS473" s="75"/>
    </row>
    <row r="474" ht="15.75" customHeight="1">
      <c r="A474" s="106"/>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75"/>
      <c r="BI474" s="75"/>
      <c r="BJ474" s="75"/>
      <c r="BK474" s="75"/>
      <c r="BL474" s="75"/>
      <c r="BM474" s="75"/>
      <c r="BN474" s="75"/>
      <c r="BO474" s="75"/>
      <c r="BP474" s="75"/>
      <c r="BQ474" s="75"/>
      <c r="BR474" s="75"/>
      <c r="BS474" s="75"/>
    </row>
    <row r="475" ht="15.75" customHeight="1">
      <c r="A475" s="106"/>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c r="BJ475" s="75"/>
      <c r="BK475" s="75"/>
      <c r="BL475" s="75"/>
      <c r="BM475" s="75"/>
      <c r="BN475" s="75"/>
      <c r="BO475" s="75"/>
      <c r="BP475" s="75"/>
      <c r="BQ475" s="75"/>
      <c r="BR475" s="75"/>
      <c r="BS475" s="75"/>
    </row>
    <row r="476" ht="15.75" customHeight="1">
      <c r="A476" s="106"/>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c r="BJ476" s="75"/>
      <c r="BK476" s="75"/>
      <c r="BL476" s="75"/>
      <c r="BM476" s="75"/>
      <c r="BN476" s="75"/>
      <c r="BO476" s="75"/>
      <c r="BP476" s="75"/>
      <c r="BQ476" s="75"/>
      <c r="BR476" s="75"/>
      <c r="BS476" s="75"/>
    </row>
    <row r="477" ht="15.75" customHeight="1">
      <c r="A477" s="106"/>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75"/>
      <c r="BI477" s="75"/>
      <c r="BJ477" s="75"/>
      <c r="BK477" s="75"/>
      <c r="BL477" s="75"/>
      <c r="BM477" s="75"/>
      <c r="BN477" s="75"/>
      <c r="BO477" s="75"/>
      <c r="BP477" s="75"/>
      <c r="BQ477" s="75"/>
      <c r="BR477" s="75"/>
      <c r="BS477" s="75"/>
    </row>
    <row r="478" ht="15.75" customHeight="1">
      <c r="A478" s="106"/>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c r="BJ478" s="75"/>
      <c r="BK478" s="75"/>
      <c r="BL478" s="75"/>
      <c r="BM478" s="75"/>
      <c r="BN478" s="75"/>
      <c r="BO478" s="75"/>
      <c r="BP478" s="75"/>
      <c r="BQ478" s="75"/>
      <c r="BR478" s="75"/>
      <c r="BS478" s="75"/>
    </row>
    <row r="479" ht="15.75" customHeight="1">
      <c r="A479" s="106"/>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c r="BK479" s="75"/>
      <c r="BL479" s="75"/>
      <c r="BM479" s="75"/>
      <c r="BN479" s="75"/>
      <c r="BO479" s="75"/>
      <c r="BP479" s="75"/>
      <c r="BQ479" s="75"/>
      <c r="BR479" s="75"/>
      <c r="BS479" s="75"/>
    </row>
    <row r="480" ht="15.75" customHeight="1">
      <c r="A480" s="106"/>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c r="BJ480" s="75"/>
      <c r="BK480" s="75"/>
      <c r="BL480" s="75"/>
      <c r="BM480" s="75"/>
      <c r="BN480" s="75"/>
      <c r="BO480" s="75"/>
      <c r="BP480" s="75"/>
      <c r="BQ480" s="75"/>
      <c r="BR480" s="75"/>
      <c r="BS480" s="75"/>
    </row>
    <row r="481" ht="15.75" customHeight="1">
      <c r="A481" s="106"/>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75"/>
      <c r="BI481" s="75"/>
      <c r="BJ481" s="75"/>
      <c r="BK481" s="75"/>
      <c r="BL481" s="75"/>
      <c r="BM481" s="75"/>
      <c r="BN481" s="75"/>
      <c r="BO481" s="75"/>
      <c r="BP481" s="75"/>
      <c r="BQ481" s="75"/>
      <c r="BR481" s="75"/>
      <c r="BS481" s="75"/>
    </row>
    <row r="482" ht="15.75" customHeight="1">
      <c r="A482" s="106"/>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c r="BK482" s="75"/>
      <c r="BL482" s="75"/>
      <c r="BM482" s="75"/>
      <c r="BN482" s="75"/>
      <c r="BO482" s="75"/>
      <c r="BP482" s="75"/>
      <c r="BQ482" s="75"/>
      <c r="BR482" s="75"/>
      <c r="BS482" s="75"/>
    </row>
    <row r="483" ht="15.75" customHeight="1">
      <c r="A483" s="106"/>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c r="BK483" s="75"/>
      <c r="BL483" s="75"/>
      <c r="BM483" s="75"/>
      <c r="BN483" s="75"/>
      <c r="BO483" s="75"/>
      <c r="BP483" s="75"/>
      <c r="BQ483" s="75"/>
      <c r="BR483" s="75"/>
      <c r="BS483" s="75"/>
    </row>
    <row r="484" ht="15.75" customHeight="1">
      <c r="A484" s="106"/>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c r="BJ484" s="75"/>
      <c r="BK484" s="75"/>
      <c r="BL484" s="75"/>
      <c r="BM484" s="75"/>
      <c r="BN484" s="75"/>
      <c r="BO484" s="75"/>
      <c r="BP484" s="75"/>
      <c r="BQ484" s="75"/>
      <c r="BR484" s="75"/>
      <c r="BS484" s="75"/>
    </row>
    <row r="485" ht="15.75" customHeight="1">
      <c r="A485" s="106"/>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c r="BJ485" s="75"/>
      <c r="BK485" s="75"/>
      <c r="BL485" s="75"/>
      <c r="BM485" s="75"/>
      <c r="BN485" s="75"/>
      <c r="BO485" s="75"/>
      <c r="BP485" s="75"/>
      <c r="BQ485" s="75"/>
      <c r="BR485" s="75"/>
      <c r="BS485" s="75"/>
    </row>
    <row r="486" ht="15.75" customHeight="1">
      <c r="A486" s="106"/>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c r="BJ486" s="75"/>
      <c r="BK486" s="75"/>
      <c r="BL486" s="75"/>
      <c r="BM486" s="75"/>
      <c r="BN486" s="75"/>
      <c r="BO486" s="75"/>
      <c r="BP486" s="75"/>
      <c r="BQ486" s="75"/>
      <c r="BR486" s="75"/>
      <c r="BS486" s="75"/>
    </row>
    <row r="487" ht="15.75" customHeight="1">
      <c r="A487" s="106"/>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c r="BJ487" s="75"/>
      <c r="BK487" s="75"/>
      <c r="BL487" s="75"/>
      <c r="BM487" s="75"/>
      <c r="BN487" s="75"/>
      <c r="BO487" s="75"/>
      <c r="BP487" s="75"/>
      <c r="BQ487" s="75"/>
      <c r="BR487" s="75"/>
      <c r="BS487" s="75"/>
    </row>
    <row r="488" ht="15.75" customHeight="1">
      <c r="A488" s="106"/>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75"/>
      <c r="BI488" s="75"/>
      <c r="BJ488" s="75"/>
      <c r="BK488" s="75"/>
      <c r="BL488" s="75"/>
      <c r="BM488" s="75"/>
      <c r="BN488" s="75"/>
      <c r="BO488" s="75"/>
      <c r="BP488" s="75"/>
      <c r="BQ488" s="75"/>
      <c r="BR488" s="75"/>
      <c r="BS488" s="75"/>
    </row>
    <row r="489" ht="15.75" customHeight="1">
      <c r="A489" s="106"/>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c r="BJ489" s="75"/>
      <c r="BK489" s="75"/>
      <c r="BL489" s="75"/>
      <c r="BM489" s="75"/>
      <c r="BN489" s="75"/>
      <c r="BO489" s="75"/>
      <c r="BP489" s="75"/>
      <c r="BQ489" s="75"/>
      <c r="BR489" s="75"/>
      <c r="BS489" s="75"/>
    </row>
    <row r="490" ht="15.75" customHeight="1">
      <c r="A490" s="106"/>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c r="BJ490" s="75"/>
      <c r="BK490" s="75"/>
      <c r="BL490" s="75"/>
      <c r="BM490" s="75"/>
      <c r="BN490" s="75"/>
      <c r="BO490" s="75"/>
      <c r="BP490" s="75"/>
      <c r="BQ490" s="75"/>
      <c r="BR490" s="75"/>
      <c r="BS490" s="75"/>
    </row>
    <row r="491" ht="15.75" customHeight="1">
      <c r="A491" s="106"/>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c r="BJ491" s="75"/>
      <c r="BK491" s="75"/>
      <c r="BL491" s="75"/>
      <c r="BM491" s="75"/>
      <c r="BN491" s="75"/>
      <c r="BO491" s="75"/>
      <c r="BP491" s="75"/>
      <c r="BQ491" s="75"/>
      <c r="BR491" s="75"/>
      <c r="BS491" s="75"/>
    </row>
    <row r="492" ht="15.75" customHeight="1">
      <c r="A492" s="106"/>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c r="BK492" s="75"/>
      <c r="BL492" s="75"/>
      <c r="BM492" s="75"/>
      <c r="BN492" s="75"/>
      <c r="BO492" s="75"/>
      <c r="BP492" s="75"/>
      <c r="BQ492" s="75"/>
      <c r="BR492" s="75"/>
      <c r="BS492" s="75"/>
    </row>
    <row r="493" ht="15.75" customHeight="1">
      <c r="A493" s="106"/>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c r="BO493" s="75"/>
      <c r="BP493" s="75"/>
      <c r="BQ493" s="75"/>
      <c r="BR493" s="75"/>
      <c r="BS493" s="75"/>
    </row>
    <row r="494" ht="15.75" customHeight="1">
      <c r="A494" s="106"/>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75"/>
      <c r="BI494" s="75"/>
      <c r="BJ494" s="75"/>
      <c r="BK494" s="75"/>
      <c r="BL494" s="75"/>
      <c r="BM494" s="75"/>
      <c r="BN494" s="75"/>
      <c r="BO494" s="75"/>
      <c r="BP494" s="75"/>
      <c r="BQ494" s="75"/>
      <c r="BR494" s="75"/>
      <c r="BS494" s="75"/>
    </row>
    <row r="495" ht="15.75" customHeight="1">
      <c r="A495" s="106"/>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c r="BJ495" s="75"/>
      <c r="BK495" s="75"/>
      <c r="BL495" s="75"/>
      <c r="BM495" s="75"/>
      <c r="BN495" s="75"/>
      <c r="BO495" s="75"/>
      <c r="BP495" s="75"/>
      <c r="BQ495" s="75"/>
      <c r="BR495" s="75"/>
      <c r="BS495" s="75"/>
    </row>
    <row r="496" ht="15.75" customHeight="1">
      <c r="A496" s="106"/>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75"/>
      <c r="BI496" s="75"/>
      <c r="BJ496" s="75"/>
      <c r="BK496" s="75"/>
      <c r="BL496" s="75"/>
      <c r="BM496" s="75"/>
      <c r="BN496" s="75"/>
      <c r="BO496" s="75"/>
      <c r="BP496" s="75"/>
      <c r="BQ496" s="75"/>
      <c r="BR496" s="75"/>
      <c r="BS496" s="75"/>
    </row>
    <row r="497" ht="15.75" customHeight="1">
      <c r="A497" s="106"/>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75"/>
      <c r="BI497" s="75"/>
      <c r="BJ497" s="75"/>
      <c r="BK497" s="75"/>
      <c r="BL497" s="75"/>
      <c r="BM497" s="75"/>
      <c r="BN497" s="75"/>
      <c r="BO497" s="75"/>
      <c r="BP497" s="75"/>
      <c r="BQ497" s="75"/>
      <c r="BR497" s="75"/>
      <c r="BS497" s="75"/>
    </row>
    <row r="498" ht="15.75" customHeight="1">
      <c r="A498" s="106"/>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c r="BJ498" s="75"/>
      <c r="BK498" s="75"/>
      <c r="BL498" s="75"/>
      <c r="BM498" s="75"/>
      <c r="BN498" s="75"/>
      <c r="BO498" s="75"/>
      <c r="BP498" s="75"/>
      <c r="BQ498" s="75"/>
      <c r="BR498" s="75"/>
      <c r="BS498" s="75"/>
    </row>
    <row r="499" ht="15.75" customHeight="1">
      <c r="A499" s="106"/>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c r="BJ499" s="75"/>
      <c r="BK499" s="75"/>
      <c r="BL499" s="75"/>
      <c r="BM499" s="75"/>
      <c r="BN499" s="75"/>
      <c r="BO499" s="75"/>
      <c r="BP499" s="75"/>
      <c r="BQ499" s="75"/>
      <c r="BR499" s="75"/>
      <c r="BS499" s="75"/>
    </row>
    <row r="500" ht="15.75" customHeight="1">
      <c r="A500" s="106"/>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75"/>
      <c r="BI500" s="75"/>
      <c r="BJ500" s="75"/>
      <c r="BK500" s="75"/>
      <c r="BL500" s="75"/>
      <c r="BM500" s="75"/>
      <c r="BN500" s="75"/>
      <c r="BO500" s="75"/>
      <c r="BP500" s="75"/>
      <c r="BQ500" s="75"/>
      <c r="BR500" s="75"/>
      <c r="BS500" s="75"/>
    </row>
    <row r="501" ht="15.75" customHeight="1">
      <c r="A501" s="106"/>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75"/>
      <c r="BI501" s="75"/>
      <c r="BJ501" s="75"/>
      <c r="BK501" s="75"/>
      <c r="BL501" s="75"/>
      <c r="BM501" s="75"/>
      <c r="BN501" s="75"/>
      <c r="BO501" s="75"/>
      <c r="BP501" s="75"/>
      <c r="BQ501" s="75"/>
      <c r="BR501" s="75"/>
      <c r="BS501" s="75"/>
    </row>
    <row r="502" ht="15.75" customHeight="1">
      <c r="A502" s="106"/>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75"/>
      <c r="BI502" s="75"/>
      <c r="BJ502" s="75"/>
      <c r="BK502" s="75"/>
      <c r="BL502" s="75"/>
      <c r="BM502" s="75"/>
      <c r="BN502" s="75"/>
      <c r="BO502" s="75"/>
      <c r="BP502" s="75"/>
      <c r="BQ502" s="75"/>
      <c r="BR502" s="75"/>
      <c r="BS502" s="75"/>
    </row>
    <row r="503" ht="15.75" customHeight="1">
      <c r="A503" s="106"/>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75"/>
      <c r="BI503" s="75"/>
      <c r="BJ503" s="75"/>
      <c r="BK503" s="75"/>
      <c r="BL503" s="75"/>
      <c r="BM503" s="75"/>
      <c r="BN503" s="75"/>
      <c r="BO503" s="75"/>
      <c r="BP503" s="75"/>
      <c r="BQ503" s="75"/>
      <c r="BR503" s="75"/>
      <c r="BS503" s="75"/>
    </row>
    <row r="504" ht="15.75" customHeight="1">
      <c r="A504" s="106"/>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c r="BJ504" s="75"/>
      <c r="BK504" s="75"/>
      <c r="BL504" s="75"/>
      <c r="BM504" s="75"/>
      <c r="BN504" s="75"/>
      <c r="BO504" s="75"/>
      <c r="BP504" s="75"/>
      <c r="BQ504" s="75"/>
      <c r="BR504" s="75"/>
      <c r="BS504" s="75"/>
    </row>
    <row r="505" ht="15.75" customHeight="1">
      <c r="A505" s="106"/>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75"/>
      <c r="BI505" s="75"/>
      <c r="BJ505" s="75"/>
      <c r="BK505" s="75"/>
      <c r="BL505" s="75"/>
      <c r="BM505" s="75"/>
      <c r="BN505" s="75"/>
      <c r="BO505" s="75"/>
      <c r="BP505" s="75"/>
      <c r="BQ505" s="75"/>
      <c r="BR505" s="75"/>
      <c r="BS505" s="75"/>
    </row>
    <row r="506" ht="15.75" customHeight="1">
      <c r="A506" s="106"/>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75"/>
      <c r="BI506" s="75"/>
      <c r="BJ506" s="75"/>
      <c r="BK506" s="75"/>
      <c r="BL506" s="75"/>
      <c r="BM506" s="75"/>
      <c r="BN506" s="75"/>
      <c r="BO506" s="75"/>
      <c r="BP506" s="75"/>
      <c r="BQ506" s="75"/>
      <c r="BR506" s="75"/>
      <c r="BS506" s="75"/>
    </row>
    <row r="507" ht="15.75" customHeight="1">
      <c r="A507" s="106"/>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c r="BJ507" s="75"/>
      <c r="BK507" s="75"/>
      <c r="BL507" s="75"/>
      <c r="BM507" s="75"/>
      <c r="BN507" s="75"/>
      <c r="BO507" s="75"/>
      <c r="BP507" s="75"/>
      <c r="BQ507" s="75"/>
      <c r="BR507" s="75"/>
      <c r="BS507" s="75"/>
    </row>
    <row r="508" ht="15.75" customHeight="1">
      <c r="A508" s="106"/>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c r="BK508" s="75"/>
      <c r="BL508" s="75"/>
      <c r="BM508" s="75"/>
      <c r="BN508" s="75"/>
      <c r="BO508" s="75"/>
      <c r="BP508" s="75"/>
      <c r="BQ508" s="75"/>
      <c r="BR508" s="75"/>
      <c r="BS508" s="75"/>
    </row>
    <row r="509" ht="15.75" customHeight="1">
      <c r="A509" s="106"/>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c r="BK509" s="75"/>
      <c r="BL509" s="75"/>
      <c r="BM509" s="75"/>
      <c r="BN509" s="75"/>
      <c r="BO509" s="75"/>
      <c r="BP509" s="75"/>
      <c r="BQ509" s="75"/>
      <c r="BR509" s="75"/>
      <c r="BS509" s="75"/>
    </row>
    <row r="510" ht="15.75" customHeight="1">
      <c r="A510" s="106"/>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c r="BK510" s="75"/>
      <c r="BL510" s="75"/>
      <c r="BM510" s="75"/>
      <c r="BN510" s="75"/>
      <c r="BO510" s="75"/>
      <c r="BP510" s="75"/>
      <c r="BQ510" s="75"/>
      <c r="BR510" s="75"/>
      <c r="BS510" s="75"/>
    </row>
    <row r="511" ht="15.75" customHeight="1">
      <c r="A511" s="106"/>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c r="BK511" s="75"/>
      <c r="BL511" s="75"/>
      <c r="BM511" s="75"/>
      <c r="BN511" s="75"/>
      <c r="BO511" s="75"/>
      <c r="BP511" s="75"/>
      <c r="BQ511" s="75"/>
      <c r="BR511" s="75"/>
      <c r="BS511" s="75"/>
    </row>
    <row r="512" ht="15.75" customHeight="1">
      <c r="A512" s="106"/>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75"/>
      <c r="BI512" s="75"/>
      <c r="BJ512" s="75"/>
      <c r="BK512" s="75"/>
      <c r="BL512" s="75"/>
      <c r="BM512" s="75"/>
      <c r="BN512" s="75"/>
      <c r="BO512" s="75"/>
      <c r="BP512" s="75"/>
      <c r="BQ512" s="75"/>
      <c r="BR512" s="75"/>
      <c r="BS512" s="75"/>
    </row>
    <row r="513" ht="15.75" customHeight="1">
      <c r="A513" s="106"/>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c r="BJ513" s="75"/>
      <c r="BK513" s="75"/>
      <c r="BL513" s="75"/>
      <c r="BM513" s="75"/>
      <c r="BN513" s="75"/>
      <c r="BO513" s="75"/>
      <c r="BP513" s="75"/>
      <c r="BQ513" s="75"/>
      <c r="BR513" s="75"/>
      <c r="BS513" s="75"/>
    </row>
    <row r="514" ht="15.75" customHeight="1">
      <c r="A514" s="106"/>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c r="BK514" s="75"/>
      <c r="BL514" s="75"/>
      <c r="BM514" s="75"/>
      <c r="BN514" s="75"/>
      <c r="BO514" s="75"/>
      <c r="BP514" s="75"/>
      <c r="BQ514" s="75"/>
      <c r="BR514" s="75"/>
      <c r="BS514" s="75"/>
    </row>
    <row r="515" ht="15.75" customHeight="1">
      <c r="A515" s="106"/>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75"/>
      <c r="BI515" s="75"/>
      <c r="BJ515" s="75"/>
      <c r="BK515" s="75"/>
      <c r="BL515" s="75"/>
      <c r="BM515" s="75"/>
      <c r="BN515" s="75"/>
      <c r="BO515" s="75"/>
      <c r="BP515" s="75"/>
      <c r="BQ515" s="75"/>
      <c r="BR515" s="75"/>
      <c r="BS515" s="75"/>
    </row>
    <row r="516" ht="15.75" customHeight="1">
      <c r="A516" s="106"/>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75"/>
      <c r="BI516" s="75"/>
      <c r="BJ516" s="75"/>
      <c r="BK516" s="75"/>
      <c r="BL516" s="75"/>
      <c r="BM516" s="75"/>
      <c r="BN516" s="75"/>
      <c r="BO516" s="75"/>
      <c r="BP516" s="75"/>
      <c r="BQ516" s="75"/>
      <c r="BR516" s="75"/>
      <c r="BS516" s="75"/>
    </row>
    <row r="517" ht="15.75" customHeight="1">
      <c r="A517" s="106"/>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75"/>
      <c r="BI517" s="75"/>
      <c r="BJ517" s="75"/>
      <c r="BK517" s="75"/>
      <c r="BL517" s="75"/>
      <c r="BM517" s="75"/>
      <c r="BN517" s="75"/>
      <c r="BO517" s="75"/>
      <c r="BP517" s="75"/>
      <c r="BQ517" s="75"/>
      <c r="BR517" s="75"/>
      <c r="BS517" s="75"/>
    </row>
    <row r="518" ht="15.75" customHeight="1">
      <c r="A518" s="106"/>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75"/>
      <c r="BI518" s="75"/>
      <c r="BJ518" s="75"/>
      <c r="BK518" s="75"/>
      <c r="BL518" s="75"/>
      <c r="BM518" s="75"/>
      <c r="BN518" s="75"/>
      <c r="BO518" s="75"/>
      <c r="BP518" s="75"/>
      <c r="BQ518" s="75"/>
      <c r="BR518" s="75"/>
      <c r="BS518" s="75"/>
    </row>
    <row r="519" ht="15.75" customHeight="1">
      <c r="A519" s="106"/>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c r="BJ519" s="75"/>
      <c r="BK519" s="75"/>
      <c r="BL519" s="75"/>
      <c r="BM519" s="75"/>
      <c r="BN519" s="75"/>
      <c r="BO519" s="75"/>
      <c r="BP519" s="75"/>
      <c r="BQ519" s="75"/>
      <c r="BR519" s="75"/>
      <c r="BS519" s="75"/>
    </row>
    <row r="520" ht="15.75" customHeight="1">
      <c r="A520" s="106"/>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75"/>
      <c r="BI520" s="75"/>
      <c r="BJ520" s="75"/>
      <c r="BK520" s="75"/>
      <c r="BL520" s="75"/>
      <c r="BM520" s="75"/>
      <c r="BN520" s="75"/>
      <c r="BO520" s="75"/>
      <c r="BP520" s="75"/>
      <c r="BQ520" s="75"/>
      <c r="BR520" s="75"/>
      <c r="BS520" s="75"/>
    </row>
    <row r="521" ht="15.75" customHeight="1">
      <c r="A521" s="106"/>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75"/>
      <c r="BI521" s="75"/>
      <c r="BJ521" s="75"/>
      <c r="BK521" s="75"/>
      <c r="BL521" s="75"/>
      <c r="BM521" s="75"/>
      <c r="BN521" s="75"/>
      <c r="BO521" s="75"/>
      <c r="BP521" s="75"/>
      <c r="BQ521" s="75"/>
      <c r="BR521" s="75"/>
      <c r="BS521" s="75"/>
    </row>
    <row r="522" ht="15.75" customHeight="1">
      <c r="A522" s="106"/>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c r="BK522" s="75"/>
      <c r="BL522" s="75"/>
      <c r="BM522" s="75"/>
      <c r="BN522" s="75"/>
      <c r="BO522" s="75"/>
      <c r="BP522" s="75"/>
      <c r="BQ522" s="75"/>
      <c r="BR522" s="75"/>
      <c r="BS522" s="75"/>
    </row>
    <row r="523" ht="15.75" customHeight="1">
      <c r="A523" s="106"/>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75"/>
      <c r="BI523" s="75"/>
      <c r="BJ523" s="75"/>
      <c r="BK523" s="75"/>
      <c r="BL523" s="75"/>
      <c r="BM523" s="75"/>
      <c r="BN523" s="75"/>
      <c r="BO523" s="75"/>
      <c r="BP523" s="75"/>
      <c r="BQ523" s="75"/>
      <c r="BR523" s="75"/>
      <c r="BS523" s="75"/>
    </row>
    <row r="524" ht="15.75" customHeight="1">
      <c r="A524" s="106"/>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c r="BK524" s="75"/>
      <c r="BL524" s="75"/>
      <c r="BM524" s="75"/>
      <c r="BN524" s="75"/>
      <c r="BO524" s="75"/>
      <c r="BP524" s="75"/>
      <c r="BQ524" s="75"/>
      <c r="BR524" s="75"/>
      <c r="BS524" s="75"/>
    </row>
    <row r="525" ht="15.75" customHeight="1">
      <c r="A525" s="106"/>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75"/>
      <c r="BI525" s="75"/>
      <c r="BJ525" s="75"/>
      <c r="BK525" s="75"/>
      <c r="BL525" s="75"/>
      <c r="BM525" s="75"/>
      <c r="BN525" s="75"/>
      <c r="BO525" s="75"/>
      <c r="BP525" s="75"/>
      <c r="BQ525" s="75"/>
      <c r="BR525" s="75"/>
      <c r="BS525" s="75"/>
    </row>
    <row r="526" ht="15.75" customHeight="1">
      <c r="A526" s="106"/>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75"/>
      <c r="BI526" s="75"/>
      <c r="BJ526" s="75"/>
      <c r="BK526" s="75"/>
      <c r="BL526" s="75"/>
      <c r="BM526" s="75"/>
      <c r="BN526" s="75"/>
      <c r="BO526" s="75"/>
      <c r="BP526" s="75"/>
      <c r="BQ526" s="75"/>
      <c r="BR526" s="75"/>
      <c r="BS526" s="75"/>
    </row>
    <row r="527" ht="15.75" customHeight="1">
      <c r="A527" s="106"/>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75"/>
      <c r="BI527" s="75"/>
      <c r="BJ527" s="75"/>
      <c r="BK527" s="75"/>
      <c r="BL527" s="75"/>
      <c r="BM527" s="75"/>
      <c r="BN527" s="75"/>
      <c r="BO527" s="75"/>
      <c r="BP527" s="75"/>
      <c r="BQ527" s="75"/>
      <c r="BR527" s="75"/>
      <c r="BS527" s="75"/>
    </row>
    <row r="528" ht="15.75" customHeight="1">
      <c r="A528" s="106"/>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75"/>
      <c r="BI528" s="75"/>
      <c r="BJ528" s="75"/>
      <c r="BK528" s="75"/>
      <c r="BL528" s="75"/>
      <c r="BM528" s="75"/>
      <c r="BN528" s="75"/>
      <c r="BO528" s="75"/>
      <c r="BP528" s="75"/>
      <c r="BQ528" s="75"/>
      <c r="BR528" s="75"/>
      <c r="BS528" s="75"/>
    </row>
    <row r="529" ht="15.75" customHeight="1">
      <c r="A529" s="106"/>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75"/>
      <c r="BI529" s="75"/>
      <c r="BJ529" s="75"/>
      <c r="BK529" s="75"/>
      <c r="BL529" s="75"/>
      <c r="BM529" s="75"/>
      <c r="BN529" s="75"/>
      <c r="BO529" s="75"/>
      <c r="BP529" s="75"/>
      <c r="BQ529" s="75"/>
      <c r="BR529" s="75"/>
      <c r="BS529" s="75"/>
    </row>
    <row r="530" ht="15.75" customHeight="1">
      <c r="A530" s="106"/>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75"/>
      <c r="BI530" s="75"/>
      <c r="BJ530" s="75"/>
      <c r="BK530" s="75"/>
      <c r="BL530" s="75"/>
      <c r="BM530" s="75"/>
      <c r="BN530" s="75"/>
      <c r="BO530" s="75"/>
      <c r="BP530" s="75"/>
      <c r="BQ530" s="75"/>
      <c r="BR530" s="75"/>
      <c r="BS530" s="75"/>
    </row>
    <row r="531" ht="15.75" customHeight="1">
      <c r="A531" s="106"/>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75"/>
      <c r="BI531" s="75"/>
      <c r="BJ531" s="75"/>
      <c r="BK531" s="75"/>
      <c r="BL531" s="75"/>
      <c r="BM531" s="75"/>
      <c r="BN531" s="75"/>
      <c r="BO531" s="75"/>
      <c r="BP531" s="75"/>
      <c r="BQ531" s="75"/>
      <c r="BR531" s="75"/>
      <c r="BS531" s="75"/>
    </row>
    <row r="532" ht="15.75" customHeight="1">
      <c r="A532" s="106"/>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75"/>
      <c r="BI532" s="75"/>
      <c r="BJ532" s="75"/>
      <c r="BK532" s="75"/>
      <c r="BL532" s="75"/>
      <c r="BM532" s="75"/>
      <c r="BN532" s="75"/>
      <c r="BO532" s="75"/>
      <c r="BP532" s="75"/>
      <c r="BQ532" s="75"/>
      <c r="BR532" s="75"/>
      <c r="BS532" s="75"/>
    </row>
    <row r="533" ht="15.75" customHeight="1">
      <c r="A533" s="106"/>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c r="BJ533" s="75"/>
      <c r="BK533" s="75"/>
      <c r="BL533" s="75"/>
      <c r="BM533" s="75"/>
      <c r="BN533" s="75"/>
      <c r="BO533" s="75"/>
      <c r="BP533" s="75"/>
      <c r="BQ533" s="75"/>
      <c r="BR533" s="75"/>
      <c r="BS533" s="75"/>
    </row>
    <row r="534" ht="15.75" customHeight="1">
      <c r="A534" s="106"/>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75"/>
      <c r="BI534" s="75"/>
      <c r="BJ534" s="75"/>
      <c r="BK534" s="75"/>
      <c r="BL534" s="75"/>
      <c r="BM534" s="75"/>
      <c r="BN534" s="75"/>
      <c r="BO534" s="75"/>
      <c r="BP534" s="75"/>
      <c r="BQ534" s="75"/>
      <c r="BR534" s="75"/>
      <c r="BS534" s="75"/>
    </row>
    <row r="535" ht="15.75" customHeight="1">
      <c r="A535" s="106"/>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75"/>
      <c r="BI535" s="75"/>
      <c r="BJ535" s="75"/>
      <c r="BK535" s="75"/>
      <c r="BL535" s="75"/>
      <c r="BM535" s="75"/>
      <c r="BN535" s="75"/>
      <c r="BO535" s="75"/>
      <c r="BP535" s="75"/>
      <c r="BQ535" s="75"/>
      <c r="BR535" s="75"/>
      <c r="BS535" s="75"/>
    </row>
    <row r="536" ht="15.75" customHeight="1">
      <c r="A536" s="106"/>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c r="BJ536" s="75"/>
      <c r="BK536" s="75"/>
      <c r="BL536" s="75"/>
      <c r="BM536" s="75"/>
      <c r="BN536" s="75"/>
      <c r="BO536" s="75"/>
      <c r="BP536" s="75"/>
      <c r="BQ536" s="75"/>
      <c r="BR536" s="75"/>
      <c r="BS536" s="75"/>
    </row>
    <row r="537" ht="15.75" customHeight="1">
      <c r="A537" s="106"/>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75"/>
      <c r="BI537" s="75"/>
      <c r="BJ537" s="75"/>
      <c r="BK537" s="75"/>
      <c r="BL537" s="75"/>
      <c r="BM537" s="75"/>
      <c r="BN537" s="75"/>
      <c r="BO537" s="75"/>
      <c r="BP537" s="75"/>
      <c r="BQ537" s="75"/>
      <c r="BR537" s="75"/>
      <c r="BS537" s="75"/>
    </row>
    <row r="538" ht="15.75" customHeight="1">
      <c r="A538" s="106"/>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75"/>
      <c r="BI538" s="75"/>
      <c r="BJ538" s="75"/>
      <c r="BK538" s="75"/>
      <c r="BL538" s="75"/>
      <c r="BM538" s="75"/>
      <c r="BN538" s="75"/>
      <c r="BO538" s="75"/>
      <c r="BP538" s="75"/>
      <c r="BQ538" s="75"/>
      <c r="BR538" s="75"/>
      <c r="BS538" s="75"/>
    </row>
    <row r="539" ht="15.75" customHeight="1">
      <c r="A539" s="106"/>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c r="BJ539" s="75"/>
      <c r="BK539" s="75"/>
      <c r="BL539" s="75"/>
      <c r="BM539" s="75"/>
      <c r="BN539" s="75"/>
      <c r="BO539" s="75"/>
      <c r="BP539" s="75"/>
      <c r="BQ539" s="75"/>
      <c r="BR539" s="75"/>
      <c r="BS539" s="75"/>
    </row>
    <row r="540" ht="15.75" customHeight="1">
      <c r="A540" s="106"/>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c r="BJ540" s="75"/>
      <c r="BK540" s="75"/>
      <c r="BL540" s="75"/>
      <c r="BM540" s="75"/>
      <c r="BN540" s="75"/>
      <c r="BO540" s="75"/>
      <c r="BP540" s="75"/>
      <c r="BQ540" s="75"/>
      <c r="BR540" s="75"/>
      <c r="BS540" s="75"/>
    </row>
    <row r="541" ht="15.75" customHeight="1">
      <c r="A541" s="106"/>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75"/>
      <c r="BI541" s="75"/>
      <c r="BJ541" s="75"/>
      <c r="BK541" s="75"/>
      <c r="BL541" s="75"/>
      <c r="BM541" s="75"/>
      <c r="BN541" s="75"/>
      <c r="BO541" s="75"/>
      <c r="BP541" s="75"/>
      <c r="BQ541" s="75"/>
      <c r="BR541" s="75"/>
      <c r="BS541" s="75"/>
    </row>
    <row r="542" ht="15.75" customHeight="1">
      <c r="A542" s="106"/>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c r="BJ542" s="75"/>
      <c r="BK542" s="75"/>
      <c r="BL542" s="75"/>
      <c r="BM542" s="75"/>
      <c r="BN542" s="75"/>
      <c r="BO542" s="75"/>
      <c r="BP542" s="75"/>
      <c r="BQ542" s="75"/>
      <c r="BR542" s="75"/>
      <c r="BS542" s="75"/>
    </row>
    <row r="543" ht="15.75" customHeight="1">
      <c r="A543" s="106"/>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c r="BJ543" s="75"/>
      <c r="BK543" s="75"/>
      <c r="BL543" s="75"/>
      <c r="BM543" s="75"/>
      <c r="BN543" s="75"/>
      <c r="BO543" s="75"/>
      <c r="BP543" s="75"/>
      <c r="BQ543" s="75"/>
      <c r="BR543" s="75"/>
      <c r="BS543" s="75"/>
    </row>
    <row r="544" ht="15.75" customHeight="1">
      <c r="A544" s="106"/>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c r="BJ544" s="75"/>
      <c r="BK544" s="75"/>
      <c r="BL544" s="75"/>
      <c r="BM544" s="75"/>
      <c r="BN544" s="75"/>
      <c r="BO544" s="75"/>
      <c r="BP544" s="75"/>
      <c r="BQ544" s="75"/>
      <c r="BR544" s="75"/>
      <c r="BS544" s="75"/>
    </row>
    <row r="545" ht="15.75" customHeight="1">
      <c r="A545" s="106"/>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c r="BJ545" s="75"/>
      <c r="BK545" s="75"/>
      <c r="BL545" s="75"/>
      <c r="BM545" s="75"/>
      <c r="BN545" s="75"/>
      <c r="BO545" s="75"/>
      <c r="BP545" s="75"/>
      <c r="BQ545" s="75"/>
      <c r="BR545" s="75"/>
      <c r="BS545" s="75"/>
    </row>
    <row r="546" ht="15.75" customHeight="1">
      <c r="A546" s="106"/>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c r="BJ546" s="75"/>
      <c r="BK546" s="75"/>
      <c r="BL546" s="75"/>
      <c r="BM546" s="75"/>
      <c r="BN546" s="75"/>
      <c r="BO546" s="75"/>
      <c r="BP546" s="75"/>
      <c r="BQ546" s="75"/>
      <c r="BR546" s="75"/>
      <c r="BS546" s="75"/>
    </row>
    <row r="547" ht="15.75" customHeight="1">
      <c r="A547" s="106"/>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c r="BJ547" s="75"/>
      <c r="BK547" s="75"/>
      <c r="BL547" s="75"/>
      <c r="BM547" s="75"/>
      <c r="BN547" s="75"/>
      <c r="BO547" s="75"/>
      <c r="BP547" s="75"/>
      <c r="BQ547" s="75"/>
      <c r="BR547" s="75"/>
      <c r="BS547" s="75"/>
    </row>
    <row r="548" ht="15.75" customHeight="1">
      <c r="A548" s="106"/>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75"/>
      <c r="BI548" s="75"/>
      <c r="BJ548" s="75"/>
      <c r="BK548" s="75"/>
      <c r="BL548" s="75"/>
      <c r="BM548" s="75"/>
      <c r="BN548" s="75"/>
      <c r="BO548" s="75"/>
      <c r="BP548" s="75"/>
      <c r="BQ548" s="75"/>
      <c r="BR548" s="75"/>
      <c r="BS548" s="75"/>
    </row>
    <row r="549" ht="15.75" customHeight="1">
      <c r="A549" s="106"/>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75"/>
      <c r="BI549" s="75"/>
      <c r="BJ549" s="75"/>
      <c r="BK549" s="75"/>
      <c r="BL549" s="75"/>
      <c r="BM549" s="75"/>
      <c r="BN549" s="75"/>
      <c r="BO549" s="75"/>
      <c r="BP549" s="75"/>
      <c r="BQ549" s="75"/>
      <c r="BR549" s="75"/>
      <c r="BS549" s="75"/>
    </row>
    <row r="550" ht="15.75" customHeight="1">
      <c r="A550" s="106"/>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75"/>
      <c r="BI550" s="75"/>
      <c r="BJ550" s="75"/>
      <c r="BK550" s="75"/>
      <c r="BL550" s="75"/>
      <c r="BM550" s="75"/>
      <c r="BN550" s="75"/>
      <c r="BO550" s="75"/>
      <c r="BP550" s="75"/>
      <c r="BQ550" s="75"/>
      <c r="BR550" s="75"/>
      <c r="BS550" s="75"/>
    </row>
    <row r="551" ht="15.75" customHeight="1">
      <c r="A551" s="106"/>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75"/>
      <c r="BI551" s="75"/>
      <c r="BJ551" s="75"/>
      <c r="BK551" s="75"/>
      <c r="BL551" s="75"/>
      <c r="BM551" s="75"/>
      <c r="BN551" s="75"/>
      <c r="BO551" s="75"/>
      <c r="BP551" s="75"/>
      <c r="BQ551" s="75"/>
      <c r="BR551" s="75"/>
      <c r="BS551" s="75"/>
    </row>
    <row r="552" ht="15.75" customHeight="1">
      <c r="A552" s="106"/>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75"/>
      <c r="BI552" s="75"/>
      <c r="BJ552" s="75"/>
      <c r="BK552" s="75"/>
      <c r="BL552" s="75"/>
      <c r="BM552" s="75"/>
      <c r="BN552" s="75"/>
      <c r="BO552" s="75"/>
      <c r="BP552" s="75"/>
      <c r="BQ552" s="75"/>
      <c r="BR552" s="75"/>
      <c r="BS552" s="75"/>
    </row>
    <row r="553" ht="15.75" customHeight="1">
      <c r="A553" s="106"/>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75"/>
      <c r="BI553" s="75"/>
      <c r="BJ553" s="75"/>
      <c r="BK553" s="75"/>
      <c r="BL553" s="75"/>
      <c r="BM553" s="75"/>
      <c r="BN553" s="75"/>
      <c r="BO553" s="75"/>
      <c r="BP553" s="75"/>
      <c r="BQ553" s="75"/>
      <c r="BR553" s="75"/>
      <c r="BS553" s="75"/>
    </row>
    <row r="554" ht="15.75" customHeight="1">
      <c r="A554" s="106"/>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c r="BJ554" s="75"/>
      <c r="BK554" s="75"/>
      <c r="BL554" s="75"/>
      <c r="BM554" s="75"/>
      <c r="BN554" s="75"/>
      <c r="BO554" s="75"/>
      <c r="BP554" s="75"/>
      <c r="BQ554" s="75"/>
      <c r="BR554" s="75"/>
      <c r="BS554" s="75"/>
    </row>
    <row r="555" ht="15.75" customHeight="1">
      <c r="A555" s="106"/>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75"/>
      <c r="BI555" s="75"/>
      <c r="BJ555" s="75"/>
      <c r="BK555" s="75"/>
      <c r="BL555" s="75"/>
      <c r="BM555" s="75"/>
      <c r="BN555" s="75"/>
      <c r="BO555" s="75"/>
      <c r="BP555" s="75"/>
      <c r="BQ555" s="75"/>
      <c r="BR555" s="75"/>
      <c r="BS555" s="75"/>
    </row>
    <row r="556" ht="15.75" customHeight="1">
      <c r="A556" s="106"/>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c r="BJ556" s="75"/>
      <c r="BK556" s="75"/>
      <c r="BL556" s="75"/>
      <c r="BM556" s="75"/>
      <c r="BN556" s="75"/>
      <c r="BO556" s="75"/>
      <c r="BP556" s="75"/>
      <c r="BQ556" s="75"/>
      <c r="BR556" s="75"/>
      <c r="BS556" s="75"/>
    </row>
    <row r="557" ht="15.75" customHeight="1">
      <c r="A557" s="106"/>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75"/>
      <c r="BI557" s="75"/>
      <c r="BJ557" s="75"/>
      <c r="BK557" s="75"/>
      <c r="BL557" s="75"/>
      <c r="BM557" s="75"/>
      <c r="BN557" s="75"/>
      <c r="BO557" s="75"/>
      <c r="BP557" s="75"/>
      <c r="BQ557" s="75"/>
      <c r="BR557" s="75"/>
      <c r="BS557" s="75"/>
    </row>
    <row r="558" ht="15.75" customHeight="1">
      <c r="A558" s="106"/>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75"/>
      <c r="BI558" s="75"/>
      <c r="BJ558" s="75"/>
      <c r="BK558" s="75"/>
      <c r="BL558" s="75"/>
      <c r="BM558" s="75"/>
      <c r="BN558" s="75"/>
      <c r="BO558" s="75"/>
      <c r="BP558" s="75"/>
      <c r="BQ558" s="75"/>
      <c r="BR558" s="75"/>
      <c r="BS558" s="75"/>
    </row>
    <row r="559" ht="15.75" customHeight="1">
      <c r="A559" s="106"/>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75"/>
      <c r="BI559" s="75"/>
      <c r="BJ559" s="75"/>
      <c r="BK559" s="75"/>
      <c r="BL559" s="75"/>
      <c r="BM559" s="75"/>
      <c r="BN559" s="75"/>
      <c r="BO559" s="75"/>
      <c r="BP559" s="75"/>
      <c r="BQ559" s="75"/>
      <c r="BR559" s="75"/>
      <c r="BS559" s="75"/>
    </row>
    <row r="560" ht="15.75" customHeight="1">
      <c r="A560" s="106"/>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c r="BJ560" s="75"/>
      <c r="BK560" s="75"/>
      <c r="BL560" s="75"/>
      <c r="BM560" s="75"/>
      <c r="BN560" s="75"/>
      <c r="BO560" s="75"/>
      <c r="BP560" s="75"/>
      <c r="BQ560" s="75"/>
      <c r="BR560" s="75"/>
      <c r="BS560" s="75"/>
    </row>
    <row r="561" ht="15.75" customHeight="1">
      <c r="A561" s="106"/>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c r="BJ561" s="75"/>
      <c r="BK561" s="75"/>
      <c r="BL561" s="75"/>
      <c r="BM561" s="75"/>
      <c r="BN561" s="75"/>
      <c r="BO561" s="75"/>
      <c r="BP561" s="75"/>
      <c r="BQ561" s="75"/>
      <c r="BR561" s="75"/>
      <c r="BS561" s="75"/>
    </row>
    <row r="562" ht="15.75" customHeight="1">
      <c r="A562" s="106"/>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c r="BJ562" s="75"/>
      <c r="BK562" s="75"/>
      <c r="BL562" s="75"/>
      <c r="BM562" s="75"/>
      <c r="BN562" s="75"/>
      <c r="BO562" s="75"/>
      <c r="BP562" s="75"/>
      <c r="BQ562" s="75"/>
      <c r="BR562" s="75"/>
      <c r="BS562" s="75"/>
    </row>
    <row r="563" ht="15.75" customHeight="1">
      <c r="A563" s="106"/>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75"/>
      <c r="BI563" s="75"/>
      <c r="BJ563" s="75"/>
      <c r="BK563" s="75"/>
      <c r="BL563" s="75"/>
      <c r="BM563" s="75"/>
      <c r="BN563" s="75"/>
      <c r="BO563" s="75"/>
      <c r="BP563" s="75"/>
      <c r="BQ563" s="75"/>
      <c r="BR563" s="75"/>
      <c r="BS563" s="75"/>
    </row>
    <row r="564" ht="15.75" customHeight="1">
      <c r="A564" s="106"/>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75"/>
      <c r="BI564" s="75"/>
      <c r="BJ564" s="75"/>
      <c r="BK564" s="75"/>
      <c r="BL564" s="75"/>
      <c r="BM564" s="75"/>
      <c r="BN564" s="75"/>
      <c r="BO564" s="75"/>
      <c r="BP564" s="75"/>
      <c r="BQ564" s="75"/>
      <c r="BR564" s="75"/>
      <c r="BS564" s="75"/>
    </row>
    <row r="565" ht="15.75" customHeight="1">
      <c r="A565" s="106"/>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75"/>
      <c r="BI565" s="75"/>
      <c r="BJ565" s="75"/>
      <c r="BK565" s="75"/>
      <c r="BL565" s="75"/>
      <c r="BM565" s="75"/>
      <c r="BN565" s="75"/>
      <c r="BO565" s="75"/>
      <c r="BP565" s="75"/>
      <c r="BQ565" s="75"/>
      <c r="BR565" s="75"/>
      <c r="BS565" s="75"/>
    </row>
    <row r="566" ht="15.75" customHeight="1">
      <c r="A566" s="106"/>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75"/>
      <c r="BI566" s="75"/>
      <c r="BJ566" s="75"/>
      <c r="BK566" s="75"/>
      <c r="BL566" s="75"/>
      <c r="BM566" s="75"/>
      <c r="BN566" s="75"/>
      <c r="BO566" s="75"/>
      <c r="BP566" s="75"/>
      <c r="BQ566" s="75"/>
      <c r="BR566" s="75"/>
      <c r="BS566" s="75"/>
    </row>
    <row r="567" ht="15.75" customHeight="1">
      <c r="A567" s="106"/>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75"/>
      <c r="BI567" s="75"/>
      <c r="BJ567" s="75"/>
      <c r="BK567" s="75"/>
      <c r="BL567" s="75"/>
      <c r="BM567" s="75"/>
      <c r="BN567" s="75"/>
      <c r="BO567" s="75"/>
      <c r="BP567" s="75"/>
      <c r="BQ567" s="75"/>
      <c r="BR567" s="75"/>
      <c r="BS567" s="75"/>
    </row>
    <row r="568" ht="15.75" customHeight="1">
      <c r="A568" s="106"/>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75"/>
      <c r="BI568" s="75"/>
      <c r="BJ568" s="75"/>
      <c r="BK568" s="75"/>
      <c r="BL568" s="75"/>
      <c r="BM568" s="75"/>
      <c r="BN568" s="75"/>
      <c r="BO568" s="75"/>
      <c r="BP568" s="75"/>
      <c r="BQ568" s="75"/>
      <c r="BR568" s="75"/>
      <c r="BS568" s="75"/>
    </row>
    <row r="569" ht="15.75" customHeight="1">
      <c r="A569" s="106"/>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75"/>
      <c r="BI569" s="75"/>
      <c r="BJ569" s="75"/>
      <c r="BK569" s="75"/>
      <c r="BL569" s="75"/>
      <c r="BM569" s="75"/>
      <c r="BN569" s="75"/>
      <c r="BO569" s="75"/>
      <c r="BP569" s="75"/>
      <c r="BQ569" s="75"/>
      <c r="BR569" s="75"/>
      <c r="BS569" s="75"/>
    </row>
    <row r="570" ht="15.75" customHeight="1">
      <c r="A570" s="106"/>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75"/>
      <c r="BI570" s="75"/>
      <c r="BJ570" s="75"/>
      <c r="BK570" s="75"/>
      <c r="BL570" s="75"/>
      <c r="BM570" s="75"/>
      <c r="BN570" s="75"/>
      <c r="BO570" s="75"/>
      <c r="BP570" s="75"/>
      <c r="BQ570" s="75"/>
      <c r="BR570" s="75"/>
      <c r="BS570" s="75"/>
    </row>
    <row r="571" ht="15.75" customHeight="1">
      <c r="A571" s="106"/>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75"/>
      <c r="BI571" s="75"/>
      <c r="BJ571" s="75"/>
      <c r="BK571" s="75"/>
      <c r="BL571" s="75"/>
      <c r="BM571" s="75"/>
      <c r="BN571" s="75"/>
      <c r="BO571" s="75"/>
      <c r="BP571" s="75"/>
      <c r="BQ571" s="75"/>
      <c r="BR571" s="75"/>
      <c r="BS571" s="75"/>
    </row>
    <row r="572" ht="15.75" customHeight="1">
      <c r="A572" s="106"/>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75"/>
      <c r="BI572" s="75"/>
      <c r="BJ572" s="75"/>
      <c r="BK572" s="75"/>
      <c r="BL572" s="75"/>
      <c r="BM572" s="75"/>
      <c r="BN572" s="75"/>
      <c r="BO572" s="75"/>
      <c r="BP572" s="75"/>
      <c r="BQ572" s="75"/>
      <c r="BR572" s="75"/>
      <c r="BS572" s="75"/>
    </row>
    <row r="573" ht="15.75" customHeight="1">
      <c r="A573" s="106"/>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75"/>
      <c r="BI573" s="75"/>
      <c r="BJ573" s="75"/>
      <c r="BK573" s="75"/>
      <c r="BL573" s="75"/>
      <c r="BM573" s="75"/>
      <c r="BN573" s="75"/>
      <c r="BO573" s="75"/>
      <c r="BP573" s="75"/>
      <c r="BQ573" s="75"/>
      <c r="BR573" s="75"/>
      <c r="BS573" s="75"/>
    </row>
    <row r="574" ht="15.75" customHeight="1">
      <c r="A574" s="106"/>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75"/>
      <c r="BI574" s="75"/>
      <c r="BJ574" s="75"/>
      <c r="BK574" s="75"/>
      <c r="BL574" s="75"/>
      <c r="BM574" s="75"/>
      <c r="BN574" s="75"/>
      <c r="BO574" s="75"/>
      <c r="BP574" s="75"/>
      <c r="BQ574" s="75"/>
      <c r="BR574" s="75"/>
      <c r="BS574" s="75"/>
    </row>
    <row r="575" ht="15.75" customHeight="1">
      <c r="A575" s="106"/>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75"/>
      <c r="BI575" s="75"/>
      <c r="BJ575" s="75"/>
      <c r="BK575" s="75"/>
      <c r="BL575" s="75"/>
      <c r="BM575" s="75"/>
      <c r="BN575" s="75"/>
      <c r="BO575" s="75"/>
      <c r="BP575" s="75"/>
      <c r="BQ575" s="75"/>
      <c r="BR575" s="75"/>
      <c r="BS575" s="75"/>
    </row>
    <row r="576" ht="15.75" customHeight="1">
      <c r="A576" s="106"/>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75"/>
      <c r="BI576" s="75"/>
      <c r="BJ576" s="75"/>
      <c r="BK576" s="75"/>
      <c r="BL576" s="75"/>
      <c r="BM576" s="75"/>
      <c r="BN576" s="75"/>
      <c r="BO576" s="75"/>
      <c r="BP576" s="75"/>
      <c r="BQ576" s="75"/>
      <c r="BR576" s="75"/>
      <c r="BS576" s="75"/>
    </row>
    <row r="577" ht="15.75" customHeight="1">
      <c r="A577" s="106"/>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75"/>
      <c r="BI577" s="75"/>
      <c r="BJ577" s="75"/>
      <c r="BK577" s="75"/>
      <c r="BL577" s="75"/>
      <c r="BM577" s="75"/>
      <c r="BN577" s="75"/>
      <c r="BO577" s="75"/>
      <c r="BP577" s="75"/>
      <c r="BQ577" s="75"/>
      <c r="BR577" s="75"/>
      <c r="BS577" s="75"/>
    </row>
    <row r="578" ht="15.75" customHeight="1">
      <c r="A578" s="106"/>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75"/>
      <c r="BI578" s="75"/>
      <c r="BJ578" s="75"/>
      <c r="BK578" s="75"/>
      <c r="BL578" s="75"/>
      <c r="BM578" s="75"/>
      <c r="BN578" s="75"/>
      <c r="BO578" s="75"/>
      <c r="BP578" s="75"/>
      <c r="BQ578" s="75"/>
      <c r="BR578" s="75"/>
      <c r="BS578" s="75"/>
    </row>
    <row r="579" ht="15.75" customHeight="1">
      <c r="A579" s="106"/>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75"/>
      <c r="BI579" s="75"/>
      <c r="BJ579" s="75"/>
      <c r="BK579" s="75"/>
      <c r="BL579" s="75"/>
      <c r="BM579" s="75"/>
      <c r="BN579" s="75"/>
      <c r="BO579" s="75"/>
      <c r="BP579" s="75"/>
      <c r="BQ579" s="75"/>
      <c r="BR579" s="75"/>
      <c r="BS579" s="75"/>
    </row>
    <row r="580" ht="15.75" customHeight="1">
      <c r="A580" s="106"/>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75"/>
      <c r="BI580" s="75"/>
      <c r="BJ580" s="75"/>
      <c r="BK580" s="75"/>
      <c r="BL580" s="75"/>
      <c r="BM580" s="75"/>
      <c r="BN580" s="75"/>
      <c r="BO580" s="75"/>
      <c r="BP580" s="75"/>
      <c r="BQ580" s="75"/>
      <c r="BR580" s="75"/>
      <c r="BS580" s="75"/>
    </row>
    <row r="581" ht="15.75" customHeight="1">
      <c r="A581" s="106"/>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75"/>
      <c r="BI581" s="75"/>
      <c r="BJ581" s="75"/>
      <c r="BK581" s="75"/>
      <c r="BL581" s="75"/>
      <c r="BM581" s="75"/>
      <c r="BN581" s="75"/>
      <c r="BO581" s="75"/>
      <c r="BP581" s="75"/>
      <c r="BQ581" s="75"/>
      <c r="BR581" s="75"/>
      <c r="BS581" s="75"/>
    </row>
    <row r="582" ht="15.75" customHeight="1">
      <c r="A582" s="106"/>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75"/>
      <c r="BI582" s="75"/>
      <c r="BJ582" s="75"/>
      <c r="BK582" s="75"/>
      <c r="BL582" s="75"/>
      <c r="BM582" s="75"/>
      <c r="BN582" s="75"/>
      <c r="BO582" s="75"/>
      <c r="BP582" s="75"/>
      <c r="BQ582" s="75"/>
      <c r="BR582" s="75"/>
      <c r="BS582" s="75"/>
    </row>
    <row r="583" ht="15.75" customHeight="1">
      <c r="A583" s="106"/>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c r="BJ583" s="75"/>
      <c r="BK583" s="75"/>
      <c r="BL583" s="75"/>
      <c r="BM583" s="75"/>
      <c r="BN583" s="75"/>
      <c r="BO583" s="75"/>
      <c r="BP583" s="75"/>
      <c r="BQ583" s="75"/>
      <c r="BR583" s="75"/>
      <c r="BS583" s="75"/>
    </row>
    <row r="584" ht="15.75" customHeight="1">
      <c r="A584" s="106"/>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75"/>
      <c r="BI584" s="75"/>
      <c r="BJ584" s="75"/>
      <c r="BK584" s="75"/>
      <c r="BL584" s="75"/>
      <c r="BM584" s="75"/>
      <c r="BN584" s="75"/>
      <c r="BO584" s="75"/>
      <c r="BP584" s="75"/>
      <c r="BQ584" s="75"/>
      <c r="BR584" s="75"/>
      <c r="BS584" s="75"/>
    </row>
    <row r="585" ht="15.75" customHeight="1">
      <c r="A585" s="106"/>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75"/>
      <c r="BI585" s="75"/>
      <c r="BJ585" s="75"/>
      <c r="BK585" s="75"/>
      <c r="BL585" s="75"/>
      <c r="BM585" s="75"/>
      <c r="BN585" s="75"/>
      <c r="BO585" s="75"/>
      <c r="BP585" s="75"/>
      <c r="BQ585" s="75"/>
      <c r="BR585" s="75"/>
      <c r="BS585" s="75"/>
    </row>
    <row r="586" ht="15.75" customHeight="1">
      <c r="A586" s="106"/>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75"/>
      <c r="BI586" s="75"/>
      <c r="BJ586" s="75"/>
      <c r="BK586" s="75"/>
      <c r="BL586" s="75"/>
      <c r="BM586" s="75"/>
      <c r="BN586" s="75"/>
      <c r="BO586" s="75"/>
      <c r="BP586" s="75"/>
      <c r="BQ586" s="75"/>
      <c r="BR586" s="75"/>
      <c r="BS586" s="75"/>
    </row>
    <row r="587" ht="15.75" customHeight="1">
      <c r="A587" s="106"/>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75"/>
      <c r="BI587" s="75"/>
      <c r="BJ587" s="75"/>
      <c r="BK587" s="75"/>
      <c r="BL587" s="75"/>
      <c r="BM587" s="75"/>
      <c r="BN587" s="75"/>
      <c r="BO587" s="75"/>
      <c r="BP587" s="75"/>
      <c r="BQ587" s="75"/>
      <c r="BR587" s="75"/>
      <c r="BS587" s="75"/>
    </row>
    <row r="588" ht="15.75" customHeight="1">
      <c r="A588" s="106"/>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c r="BJ588" s="75"/>
      <c r="BK588" s="75"/>
      <c r="BL588" s="75"/>
      <c r="BM588" s="75"/>
      <c r="BN588" s="75"/>
      <c r="BO588" s="75"/>
      <c r="BP588" s="75"/>
      <c r="BQ588" s="75"/>
      <c r="BR588" s="75"/>
      <c r="BS588" s="75"/>
    </row>
    <row r="589" ht="15.75" customHeight="1">
      <c r="A589" s="106"/>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75"/>
      <c r="BI589" s="75"/>
      <c r="BJ589" s="75"/>
      <c r="BK589" s="75"/>
      <c r="BL589" s="75"/>
      <c r="BM589" s="75"/>
      <c r="BN589" s="75"/>
      <c r="BO589" s="75"/>
      <c r="BP589" s="75"/>
      <c r="BQ589" s="75"/>
      <c r="BR589" s="75"/>
      <c r="BS589" s="75"/>
    </row>
    <row r="590" ht="15.75" customHeight="1">
      <c r="A590" s="106"/>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75"/>
      <c r="BI590" s="75"/>
      <c r="BJ590" s="75"/>
      <c r="BK590" s="75"/>
      <c r="BL590" s="75"/>
      <c r="BM590" s="75"/>
      <c r="BN590" s="75"/>
      <c r="BO590" s="75"/>
      <c r="BP590" s="75"/>
      <c r="BQ590" s="75"/>
      <c r="BR590" s="75"/>
      <c r="BS590" s="75"/>
    </row>
    <row r="591" ht="15.75" customHeight="1">
      <c r="A591" s="106"/>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75"/>
      <c r="BI591" s="75"/>
      <c r="BJ591" s="75"/>
      <c r="BK591" s="75"/>
      <c r="BL591" s="75"/>
      <c r="BM591" s="75"/>
      <c r="BN591" s="75"/>
      <c r="BO591" s="75"/>
      <c r="BP591" s="75"/>
      <c r="BQ591" s="75"/>
      <c r="BR591" s="75"/>
      <c r="BS591" s="75"/>
    </row>
    <row r="592" ht="15.75" customHeight="1">
      <c r="A592" s="106"/>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75"/>
      <c r="BI592" s="75"/>
      <c r="BJ592" s="75"/>
      <c r="BK592" s="75"/>
      <c r="BL592" s="75"/>
      <c r="BM592" s="75"/>
      <c r="BN592" s="75"/>
      <c r="BO592" s="75"/>
      <c r="BP592" s="75"/>
      <c r="BQ592" s="75"/>
      <c r="BR592" s="75"/>
      <c r="BS592" s="75"/>
    </row>
    <row r="593" ht="15.75" customHeight="1">
      <c r="A593" s="106"/>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75"/>
      <c r="BI593" s="75"/>
      <c r="BJ593" s="75"/>
      <c r="BK593" s="75"/>
      <c r="BL593" s="75"/>
      <c r="BM593" s="75"/>
      <c r="BN593" s="75"/>
      <c r="BO593" s="75"/>
      <c r="BP593" s="75"/>
      <c r="BQ593" s="75"/>
      <c r="BR593" s="75"/>
      <c r="BS593" s="75"/>
    </row>
    <row r="594" ht="15.75" customHeight="1">
      <c r="A594" s="106"/>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75"/>
      <c r="BI594" s="75"/>
      <c r="BJ594" s="75"/>
      <c r="BK594" s="75"/>
      <c r="BL594" s="75"/>
      <c r="BM594" s="75"/>
      <c r="BN594" s="75"/>
      <c r="BO594" s="75"/>
      <c r="BP594" s="75"/>
      <c r="BQ594" s="75"/>
      <c r="BR594" s="75"/>
      <c r="BS594" s="75"/>
    </row>
    <row r="595" ht="15.75" customHeight="1">
      <c r="A595" s="106"/>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75"/>
      <c r="BI595" s="75"/>
      <c r="BJ595" s="75"/>
      <c r="BK595" s="75"/>
      <c r="BL595" s="75"/>
      <c r="BM595" s="75"/>
      <c r="BN595" s="75"/>
      <c r="BO595" s="75"/>
      <c r="BP595" s="75"/>
      <c r="BQ595" s="75"/>
      <c r="BR595" s="75"/>
      <c r="BS595" s="75"/>
    </row>
    <row r="596" ht="15.75" customHeight="1">
      <c r="A596" s="106"/>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75"/>
      <c r="BI596" s="75"/>
      <c r="BJ596" s="75"/>
      <c r="BK596" s="75"/>
      <c r="BL596" s="75"/>
      <c r="BM596" s="75"/>
      <c r="BN596" s="75"/>
      <c r="BO596" s="75"/>
      <c r="BP596" s="75"/>
      <c r="BQ596" s="75"/>
      <c r="BR596" s="75"/>
      <c r="BS596" s="75"/>
    </row>
    <row r="597" ht="15.75" customHeight="1">
      <c r="A597" s="106"/>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75"/>
      <c r="BI597" s="75"/>
      <c r="BJ597" s="75"/>
      <c r="BK597" s="75"/>
      <c r="BL597" s="75"/>
      <c r="BM597" s="75"/>
      <c r="BN597" s="75"/>
      <c r="BO597" s="75"/>
      <c r="BP597" s="75"/>
      <c r="BQ597" s="75"/>
      <c r="BR597" s="75"/>
      <c r="BS597" s="75"/>
    </row>
    <row r="598" ht="15.75" customHeight="1">
      <c r="A598" s="106"/>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75"/>
      <c r="BI598" s="75"/>
      <c r="BJ598" s="75"/>
      <c r="BK598" s="75"/>
      <c r="BL598" s="75"/>
      <c r="BM598" s="75"/>
      <c r="BN598" s="75"/>
      <c r="BO598" s="75"/>
      <c r="BP598" s="75"/>
      <c r="BQ598" s="75"/>
      <c r="BR598" s="75"/>
      <c r="BS598" s="75"/>
    </row>
    <row r="599" ht="15.75" customHeight="1">
      <c r="A599" s="106"/>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75"/>
      <c r="BI599" s="75"/>
      <c r="BJ599" s="75"/>
      <c r="BK599" s="75"/>
      <c r="BL599" s="75"/>
      <c r="BM599" s="75"/>
      <c r="BN599" s="75"/>
      <c r="BO599" s="75"/>
      <c r="BP599" s="75"/>
      <c r="BQ599" s="75"/>
      <c r="BR599" s="75"/>
      <c r="BS599" s="75"/>
    </row>
    <row r="600" ht="15.75" customHeight="1">
      <c r="A600" s="106"/>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75"/>
      <c r="BI600" s="75"/>
      <c r="BJ600" s="75"/>
      <c r="BK600" s="75"/>
      <c r="BL600" s="75"/>
      <c r="BM600" s="75"/>
      <c r="BN600" s="75"/>
      <c r="BO600" s="75"/>
      <c r="BP600" s="75"/>
      <c r="BQ600" s="75"/>
      <c r="BR600" s="75"/>
      <c r="BS600" s="75"/>
    </row>
    <row r="601" ht="15.75" customHeight="1">
      <c r="A601" s="106"/>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c r="BJ601" s="75"/>
      <c r="BK601" s="75"/>
      <c r="BL601" s="75"/>
      <c r="BM601" s="75"/>
      <c r="BN601" s="75"/>
      <c r="BO601" s="75"/>
      <c r="BP601" s="75"/>
      <c r="BQ601" s="75"/>
      <c r="BR601" s="75"/>
      <c r="BS601" s="75"/>
    </row>
    <row r="602" ht="15.75" customHeight="1">
      <c r="A602" s="106"/>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75"/>
      <c r="BI602" s="75"/>
      <c r="BJ602" s="75"/>
      <c r="BK602" s="75"/>
      <c r="BL602" s="75"/>
      <c r="BM602" s="75"/>
      <c r="BN602" s="75"/>
      <c r="BO602" s="75"/>
      <c r="BP602" s="75"/>
      <c r="BQ602" s="75"/>
      <c r="BR602" s="75"/>
      <c r="BS602" s="75"/>
    </row>
    <row r="603" ht="15.75" customHeight="1">
      <c r="A603" s="106"/>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75"/>
      <c r="BI603" s="75"/>
      <c r="BJ603" s="75"/>
      <c r="BK603" s="75"/>
      <c r="BL603" s="75"/>
      <c r="BM603" s="75"/>
      <c r="BN603" s="75"/>
      <c r="BO603" s="75"/>
      <c r="BP603" s="75"/>
      <c r="BQ603" s="75"/>
      <c r="BR603" s="75"/>
      <c r="BS603" s="75"/>
    </row>
    <row r="604" ht="15.75" customHeight="1">
      <c r="A604" s="106"/>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75"/>
      <c r="BI604" s="75"/>
      <c r="BJ604" s="75"/>
      <c r="BK604" s="75"/>
      <c r="BL604" s="75"/>
      <c r="BM604" s="75"/>
      <c r="BN604" s="75"/>
      <c r="BO604" s="75"/>
      <c r="BP604" s="75"/>
      <c r="BQ604" s="75"/>
      <c r="BR604" s="75"/>
      <c r="BS604" s="75"/>
    </row>
    <row r="605" ht="15.75" customHeight="1">
      <c r="A605" s="106"/>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75"/>
      <c r="BI605" s="75"/>
      <c r="BJ605" s="75"/>
      <c r="BK605" s="75"/>
      <c r="BL605" s="75"/>
      <c r="BM605" s="75"/>
      <c r="BN605" s="75"/>
      <c r="BO605" s="75"/>
      <c r="BP605" s="75"/>
      <c r="BQ605" s="75"/>
      <c r="BR605" s="75"/>
      <c r="BS605" s="75"/>
    </row>
    <row r="606" ht="15.75" customHeight="1">
      <c r="A606" s="106"/>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75"/>
      <c r="BI606" s="75"/>
      <c r="BJ606" s="75"/>
      <c r="BK606" s="75"/>
      <c r="BL606" s="75"/>
      <c r="BM606" s="75"/>
      <c r="BN606" s="75"/>
      <c r="BO606" s="75"/>
      <c r="BP606" s="75"/>
      <c r="BQ606" s="75"/>
      <c r="BR606" s="75"/>
      <c r="BS606" s="75"/>
    </row>
    <row r="607" ht="15.75" customHeight="1">
      <c r="A607" s="106"/>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c r="BJ607" s="75"/>
      <c r="BK607" s="75"/>
      <c r="BL607" s="75"/>
      <c r="BM607" s="75"/>
      <c r="BN607" s="75"/>
      <c r="BO607" s="75"/>
      <c r="BP607" s="75"/>
      <c r="BQ607" s="75"/>
      <c r="BR607" s="75"/>
      <c r="BS607" s="75"/>
    </row>
    <row r="608" ht="15.75" customHeight="1">
      <c r="A608" s="106"/>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75"/>
      <c r="BI608" s="75"/>
      <c r="BJ608" s="75"/>
      <c r="BK608" s="75"/>
      <c r="BL608" s="75"/>
      <c r="BM608" s="75"/>
      <c r="BN608" s="75"/>
      <c r="BO608" s="75"/>
      <c r="BP608" s="75"/>
      <c r="BQ608" s="75"/>
      <c r="BR608" s="75"/>
      <c r="BS608" s="75"/>
    </row>
    <row r="609" ht="15.75" customHeight="1">
      <c r="A609" s="106"/>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75"/>
      <c r="BI609" s="75"/>
      <c r="BJ609" s="75"/>
      <c r="BK609" s="75"/>
      <c r="BL609" s="75"/>
      <c r="BM609" s="75"/>
      <c r="BN609" s="75"/>
      <c r="BO609" s="75"/>
      <c r="BP609" s="75"/>
      <c r="BQ609" s="75"/>
      <c r="BR609" s="75"/>
      <c r="BS609" s="75"/>
    </row>
    <row r="610" ht="15.75" customHeight="1">
      <c r="A610" s="106"/>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75"/>
      <c r="BI610" s="75"/>
      <c r="BJ610" s="75"/>
      <c r="BK610" s="75"/>
      <c r="BL610" s="75"/>
      <c r="BM610" s="75"/>
      <c r="BN610" s="75"/>
      <c r="BO610" s="75"/>
      <c r="BP610" s="75"/>
      <c r="BQ610" s="75"/>
      <c r="BR610" s="75"/>
      <c r="BS610" s="75"/>
    </row>
    <row r="611" ht="15.75" customHeight="1">
      <c r="A611" s="106"/>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c r="BJ611" s="75"/>
      <c r="BK611" s="75"/>
      <c r="BL611" s="75"/>
      <c r="BM611" s="75"/>
      <c r="BN611" s="75"/>
      <c r="BO611" s="75"/>
      <c r="BP611" s="75"/>
      <c r="BQ611" s="75"/>
      <c r="BR611" s="75"/>
      <c r="BS611" s="75"/>
    </row>
    <row r="612" ht="15.75" customHeight="1">
      <c r="A612" s="106"/>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75"/>
      <c r="BI612" s="75"/>
      <c r="BJ612" s="75"/>
      <c r="BK612" s="75"/>
      <c r="BL612" s="75"/>
      <c r="BM612" s="75"/>
      <c r="BN612" s="75"/>
      <c r="BO612" s="75"/>
      <c r="BP612" s="75"/>
      <c r="BQ612" s="75"/>
      <c r="BR612" s="75"/>
      <c r="BS612" s="75"/>
    </row>
    <row r="613" ht="15.75" customHeight="1">
      <c r="A613" s="106"/>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75"/>
      <c r="BI613" s="75"/>
      <c r="BJ613" s="75"/>
      <c r="BK613" s="75"/>
      <c r="BL613" s="75"/>
      <c r="BM613" s="75"/>
      <c r="BN613" s="75"/>
      <c r="BO613" s="75"/>
      <c r="BP613" s="75"/>
      <c r="BQ613" s="75"/>
      <c r="BR613" s="75"/>
      <c r="BS613" s="75"/>
    </row>
    <row r="614" ht="15.75" customHeight="1">
      <c r="A614" s="106"/>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75"/>
      <c r="BI614" s="75"/>
      <c r="BJ614" s="75"/>
      <c r="BK614" s="75"/>
      <c r="BL614" s="75"/>
      <c r="BM614" s="75"/>
      <c r="BN614" s="75"/>
      <c r="BO614" s="75"/>
      <c r="BP614" s="75"/>
      <c r="BQ614" s="75"/>
      <c r="BR614" s="75"/>
      <c r="BS614" s="75"/>
    </row>
    <row r="615" ht="15.75" customHeight="1">
      <c r="A615" s="106"/>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c r="BJ615" s="75"/>
      <c r="BK615" s="75"/>
      <c r="BL615" s="75"/>
      <c r="BM615" s="75"/>
      <c r="BN615" s="75"/>
      <c r="BO615" s="75"/>
      <c r="BP615" s="75"/>
      <c r="BQ615" s="75"/>
      <c r="BR615" s="75"/>
      <c r="BS615" s="75"/>
    </row>
    <row r="616" ht="15.75" customHeight="1">
      <c r="A616" s="106"/>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c r="BJ616" s="75"/>
      <c r="BK616" s="75"/>
      <c r="BL616" s="75"/>
      <c r="BM616" s="75"/>
      <c r="BN616" s="75"/>
      <c r="BO616" s="75"/>
      <c r="BP616" s="75"/>
      <c r="BQ616" s="75"/>
      <c r="BR616" s="75"/>
      <c r="BS616" s="75"/>
    </row>
    <row r="617" ht="15.75" customHeight="1">
      <c r="A617" s="106"/>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c r="BJ617" s="75"/>
      <c r="BK617" s="75"/>
      <c r="BL617" s="75"/>
      <c r="BM617" s="75"/>
      <c r="BN617" s="75"/>
      <c r="BO617" s="75"/>
      <c r="BP617" s="75"/>
      <c r="BQ617" s="75"/>
      <c r="BR617" s="75"/>
      <c r="BS617" s="75"/>
    </row>
    <row r="618" ht="15.75" customHeight="1">
      <c r="A618" s="106"/>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c r="BJ618" s="75"/>
      <c r="BK618" s="75"/>
      <c r="BL618" s="75"/>
      <c r="BM618" s="75"/>
      <c r="BN618" s="75"/>
      <c r="BO618" s="75"/>
      <c r="BP618" s="75"/>
      <c r="BQ618" s="75"/>
      <c r="BR618" s="75"/>
      <c r="BS618" s="75"/>
    </row>
    <row r="619" ht="15.75" customHeight="1">
      <c r="A619" s="106"/>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c r="BJ619" s="75"/>
      <c r="BK619" s="75"/>
      <c r="BL619" s="75"/>
      <c r="BM619" s="75"/>
      <c r="BN619" s="75"/>
      <c r="BO619" s="75"/>
      <c r="BP619" s="75"/>
      <c r="BQ619" s="75"/>
      <c r="BR619" s="75"/>
      <c r="BS619" s="75"/>
    </row>
    <row r="620" ht="15.75" customHeight="1">
      <c r="A620" s="106"/>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75"/>
      <c r="BI620" s="75"/>
      <c r="BJ620" s="75"/>
      <c r="BK620" s="75"/>
      <c r="BL620" s="75"/>
      <c r="BM620" s="75"/>
      <c r="BN620" s="75"/>
      <c r="BO620" s="75"/>
      <c r="BP620" s="75"/>
      <c r="BQ620" s="75"/>
      <c r="BR620" s="75"/>
      <c r="BS620" s="75"/>
    </row>
    <row r="621" ht="15.75" customHeight="1">
      <c r="A621" s="106"/>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c r="BJ621" s="75"/>
      <c r="BK621" s="75"/>
      <c r="BL621" s="75"/>
      <c r="BM621" s="75"/>
      <c r="BN621" s="75"/>
      <c r="BO621" s="75"/>
      <c r="BP621" s="75"/>
      <c r="BQ621" s="75"/>
      <c r="BR621" s="75"/>
      <c r="BS621" s="75"/>
    </row>
    <row r="622" ht="15.75" customHeight="1">
      <c r="A622" s="106"/>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75"/>
      <c r="BI622" s="75"/>
      <c r="BJ622" s="75"/>
      <c r="BK622" s="75"/>
      <c r="BL622" s="75"/>
      <c r="BM622" s="75"/>
      <c r="BN622" s="75"/>
      <c r="BO622" s="75"/>
      <c r="BP622" s="75"/>
      <c r="BQ622" s="75"/>
      <c r="BR622" s="75"/>
      <c r="BS622" s="75"/>
    </row>
    <row r="623" ht="15.75" customHeight="1">
      <c r="A623" s="106"/>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c r="BJ623" s="75"/>
      <c r="BK623" s="75"/>
      <c r="BL623" s="75"/>
      <c r="BM623" s="75"/>
      <c r="BN623" s="75"/>
      <c r="BO623" s="75"/>
      <c r="BP623" s="75"/>
      <c r="BQ623" s="75"/>
      <c r="BR623" s="75"/>
      <c r="BS623" s="75"/>
    </row>
    <row r="624" ht="15.75" customHeight="1">
      <c r="A624" s="106"/>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75"/>
      <c r="BI624" s="75"/>
      <c r="BJ624" s="75"/>
      <c r="BK624" s="75"/>
      <c r="BL624" s="75"/>
      <c r="BM624" s="75"/>
      <c r="BN624" s="75"/>
      <c r="BO624" s="75"/>
      <c r="BP624" s="75"/>
      <c r="BQ624" s="75"/>
      <c r="BR624" s="75"/>
      <c r="BS624" s="75"/>
    </row>
    <row r="625" ht="15.75" customHeight="1">
      <c r="A625" s="106"/>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c r="BJ625" s="75"/>
      <c r="BK625" s="75"/>
      <c r="BL625" s="75"/>
      <c r="BM625" s="75"/>
      <c r="BN625" s="75"/>
      <c r="BO625" s="75"/>
      <c r="BP625" s="75"/>
      <c r="BQ625" s="75"/>
      <c r="BR625" s="75"/>
      <c r="BS625" s="75"/>
    </row>
    <row r="626" ht="15.75" customHeight="1">
      <c r="A626" s="106"/>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c r="BJ626" s="75"/>
      <c r="BK626" s="75"/>
      <c r="BL626" s="75"/>
      <c r="BM626" s="75"/>
      <c r="BN626" s="75"/>
      <c r="BO626" s="75"/>
      <c r="BP626" s="75"/>
      <c r="BQ626" s="75"/>
      <c r="BR626" s="75"/>
      <c r="BS626" s="75"/>
    </row>
    <row r="627" ht="15.75" customHeight="1">
      <c r="A627" s="106"/>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75"/>
      <c r="BI627" s="75"/>
      <c r="BJ627" s="75"/>
      <c r="BK627" s="75"/>
      <c r="BL627" s="75"/>
      <c r="BM627" s="75"/>
      <c r="BN627" s="75"/>
      <c r="BO627" s="75"/>
      <c r="BP627" s="75"/>
      <c r="BQ627" s="75"/>
      <c r="BR627" s="75"/>
      <c r="BS627" s="75"/>
    </row>
    <row r="628" ht="15.75" customHeight="1">
      <c r="A628" s="106"/>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75"/>
      <c r="BI628" s="75"/>
      <c r="BJ628" s="75"/>
      <c r="BK628" s="75"/>
      <c r="BL628" s="75"/>
      <c r="BM628" s="75"/>
      <c r="BN628" s="75"/>
      <c r="BO628" s="75"/>
      <c r="BP628" s="75"/>
      <c r="BQ628" s="75"/>
      <c r="BR628" s="75"/>
      <c r="BS628" s="75"/>
    </row>
    <row r="629" ht="15.75" customHeight="1">
      <c r="A629" s="106"/>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c r="BK629" s="75"/>
      <c r="BL629" s="75"/>
      <c r="BM629" s="75"/>
      <c r="BN629" s="75"/>
      <c r="BO629" s="75"/>
      <c r="BP629" s="75"/>
      <c r="BQ629" s="75"/>
      <c r="BR629" s="75"/>
      <c r="BS629" s="75"/>
    </row>
    <row r="630" ht="15.75" customHeight="1">
      <c r="A630" s="106"/>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75"/>
      <c r="BI630" s="75"/>
      <c r="BJ630" s="75"/>
      <c r="BK630" s="75"/>
      <c r="BL630" s="75"/>
      <c r="BM630" s="75"/>
      <c r="BN630" s="75"/>
      <c r="BO630" s="75"/>
      <c r="BP630" s="75"/>
      <c r="BQ630" s="75"/>
      <c r="BR630" s="75"/>
      <c r="BS630" s="75"/>
    </row>
    <row r="631" ht="15.75" customHeight="1">
      <c r="A631" s="106"/>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75"/>
      <c r="BI631" s="75"/>
      <c r="BJ631" s="75"/>
      <c r="BK631" s="75"/>
      <c r="BL631" s="75"/>
      <c r="BM631" s="75"/>
      <c r="BN631" s="75"/>
      <c r="BO631" s="75"/>
      <c r="BP631" s="75"/>
      <c r="BQ631" s="75"/>
      <c r="BR631" s="75"/>
      <c r="BS631" s="75"/>
    </row>
    <row r="632" ht="15.75" customHeight="1">
      <c r="A632" s="106"/>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75"/>
      <c r="BI632" s="75"/>
      <c r="BJ632" s="75"/>
      <c r="BK632" s="75"/>
      <c r="BL632" s="75"/>
      <c r="BM632" s="75"/>
      <c r="BN632" s="75"/>
      <c r="BO632" s="75"/>
      <c r="BP632" s="75"/>
      <c r="BQ632" s="75"/>
      <c r="BR632" s="75"/>
      <c r="BS632" s="75"/>
    </row>
    <row r="633" ht="15.75" customHeight="1">
      <c r="A633" s="106"/>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75"/>
      <c r="BI633" s="75"/>
      <c r="BJ633" s="75"/>
      <c r="BK633" s="75"/>
      <c r="BL633" s="75"/>
      <c r="BM633" s="75"/>
      <c r="BN633" s="75"/>
      <c r="BO633" s="75"/>
      <c r="BP633" s="75"/>
      <c r="BQ633" s="75"/>
      <c r="BR633" s="75"/>
      <c r="BS633" s="75"/>
    </row>
    <row r="634" ht="15.75" customHeight="1">
      <c r="A634" s="106"/>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75"/>
      <c r="BI634" s="75"/>
      <c r="BJ634" s="75"/>
      <c r="BK634" s="75"/>
      <c r="BL634" s="75"/>
      <c r="BM634" s="75"/>
      <c r="BN634" s="75"/>
      <c r="BO634" s="75"/>
      <c r="BP634" s="75"/>
      <c r="BQ634" s="75"/>
      <c r="BR634" s="75"/>
      <c r="BS634" s="75"/>
    </row>
    <row r="635" ht="15.75" customHeight="1">
      <c r="A635" s="106"/>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75"/>
      <c r="BI635" s="75"/>
      <c r="BJ635" s="75"/>
      <c r="BK635" s="75"/>
      <c r="BL635" s="75"/>
      <c r="BM635" s="75"/>
      <c r="BN635" s="75"/>
      <c r="BO635" s="75"/>
      <c r="BP635" s="75"/>
      <c r="BQ635" s="75"/>
      <c r="BR635" s="75"/>
      <c r="BS635" s="75"/>
    </row>
    <row r="636" ht="15.75" customHeight="1">
      <c r="A636" s="106"/>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c r="BJ636" s="75"/>
      <c r="BK636" s="75"/>
      <c r="BL636" s="75"/>
      <c r="BM636" s="75"/>
      <c r="BN636" s="75"/>
      <c r="BO636" s="75"/>
      <c r="BP636" s="75"/>
      <c r="BQ636" s="75"/>
      <c r="BR636" s="75"/>
      <c r="BS636" s="75"/>
    </row>
    <row r="637" ht="15.75" customHeight="1">
      <c r="A637" s="106"/>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75"/>
      <c r="BI637" s="75"/>
      <c r="BJ637" s="75"/>
      <c r="BK637" s="75"/>
      <c r="BL637" s="75"/>
      <c r="BM637" s="75"/>
      <c r="BN637" s="75"/>
      <c r="BO637" s="75"/>
      <c r="BP637" s="75"/>
      <c r="BQ637" s="75"/>
      <c r="BR637" s="75"/>
      <c r="BS637" s="75"/>
    </row>
    <row r="638" ht="15.75" customHeight="1">
      <c r="A638" s="106"/>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75"/>
      <c r="BI638" s="75"/>
      <c r="BJ638" s="75"/>
      <c r="BK638" s="75"/>
      <c r="BL638" s="75"/>
      <c r="BM638" s="75"/>
      <c r="BN638" s="75"/>
      <c r="BO638" s="75"/>
      <c r="BP638" s="75"/>
      <c r="BQ638" s="75"/>
      <c r="BR638" s="75"/>
      <c r="BS638" s="75"/>
    </row>
    <row r="639" ht="15.75" customHeight="1">
      <c r="A639" s="106"/>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c r="BJ639" s="75"/>
      <c r="BK639" s="75"/>
      <c r="BL639" s="75"/>
      <c r="BM639" s="75"/>
      <c r="BN639" s="75"/>
      <c r="BO639" s="75"/>
      <c r="BP639" s="75"/>
      <c r="BQ639" s="75"/>
      <c r="BR639" s="75"/>
      <c r="BS639" s="75"/>
    </row>
    <row r="640" ht="15.75" customHeight="1">
      <c r="A640" s="106"/>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75"/>
      <c r="BI640" s="75"/>
      <c r="BJ640" s="75"/>
      <c r="BK640" s="75"/>
      <c r="BL640" s="75"/>
      <c r="BM640" s="75"/>
      <c r="BN640" s="75"/>
      <c r="BO640" s="75"/>
      <c r="BP640" s="75"/>
      <c r="BQ640" s="75"/>
      <c r="BR640" s="75"/>
      <c r="BS640" s="75"/>
    </row>
    <row r="641" ht="15.75" customHeight="1">
      <c r="A641" s="106"/>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75"/>
      <c r="BI641" s="75"/>
      <c r="BJ641" s="75"/>
      <c r="BK641" s="75"/>
      <c r="BL641" s="75"/>
      <c r="BM641" s="75"/>
      <c r="BN641" s="75"/>
      <c r="BO641" s="75"/>
      <c r="BP641" s="75"/>
      <c r="BQ641" s="75"/>
      <c r="BR641" s="75"/>
      <c r="BS641" s="75"/>
    </row>
    <row r="642" ht="15.75" customHeight="1">
      <c r="A642" s="106"/>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75"/>
      <c r="BI642" s="75"/>
      <c r="BJ642" s="75"/>
      <c r="BK642" s="75"/>
      <c r="BL642" s="75"/>
      <c r="BM642" s="75"/>
      <c r="BN642" s="75"/>
      <c r="BO642" s="75"/>
      <c r="BP642" s="75"/>
      <c r="BQ642" s="75"/>
      <c r="BR642" s="75"/>
      <c r="BS642" s="75"/>
    </row>
    <row r="643" ht="15.75" customHeight="1">
      <c r="A643" s="106"/>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c r="BJ643" s="75"/>
      <c r="BK643" s="75"/>
      <c r="BL643" s="75"/>
      <c r="BM643" s="75"/>
      <c r="BN643" s="75"/>
      <c r="BO643" s="75"/>
      <c r="BP643" s="75"/>
      <c r="BQ643" s="75"/>
      <c r="BR643" s="75"/>
      <c r="BS643" s="75"/>
    </row>
    <row r="644" ht="15.75" customHeight="1">
      <c r="A644" s="106"/>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75"/>
      <c r="BI644" s="75"/>
      <c r="BJ644" s="75"/>
      <c r="BK644" s="75"/>
      <c r="BL644" s="75"/>
      <c r="BM644" s="75"/>
      <c r="BN644" s="75"/>
      <c r="BO644" s="75"/>
      <c r="BP644" s="75"/>
      <c r="BQ644" s="75"/>
      <c r="BR644" s="75"/>
      <c r="BS644" s="75"/>
    </row>
    <row r="645" ht="15.75" customHeight="1">
      <c r="A645" s="106"/>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c r="BJ645" s="75"/>
      <c r="BK645" s="75"/>
      <c r="BL645" s="75"/>
      <c r="BM645" s="75"/>
      <c r="BN645" s="75"/>
      <c r="BO645" s="75"/>
      <c r="BP645" s="75"/>
      <c r="BQ645" s="75"/>
      <c r="BR645" s="75"/>
      <c r="BS645" s="75"/>
    </row>
    <row r="646" ht="15.75" customHeight="1">
      <c r="A646" s="106"/>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75"/>
      <c r="BI646" s="75"/>
      <c r="BJ646" s="75"/>
      <c r="BK646" s="75"/>
      <c r="BL646" s="75"/>
      <c r="BM646" s="75"/>
      <c r="BN646" s="75"/>
      <c r="BO646" s="75"/>
      <c r="BP646" s="75"/>
      <c r="BQ646" s="75"/>
      <c r="BR646" s="75"/>
      <c r="BS646" s="75"/>
    </row>
    <row r="647" ht="15.75" customHeight="1">
      <c r="A647" s="106"/>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75"/>
      <c r="BI647" s="75"/>
      <c r="BJ647" s="75"/>
      <c r="BK647" s="75"/>
      <c r="BL647" s="75"/>
      <c r="BM647" s="75"/>
      <c r="BN647" s="75"/>
      <c r="BO647" s="75"/>
      <c r="BP647" s="75"/>
      <c r="BQ647" s="75"/>
      <c r="BR647" s="75"/>
      <c r="BS647" s="75"/>
    </row>
    <row r="648" ht="15.75" customHeight="1">
      <c r="A648" s="106"/>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75"/>
      <c r="BI648" s="75"/>
      <c r="BJ648" s="75"/>
      <c r="BK648" s="75"/>
      <c r="BL648" s="75"/>
      <c r="BM648" s="75"/>
      <c r="BN648" s="75"/>
      <c r="BO648" s="75"/>
      <c r="BP648" s="75"/>
      <c r="BQ648" s="75"/>
      <c r="BR648" s="75"/>
      <c r="BS648" s="75"/>
    </row>
    <row r="649" ht="15.75" customHeight="1">
      <c r="A649" s="106"/>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75"/>
      <c r="BI649" s="75"/>
      <c r="BJ649" s="75"/>
      <c r="BK649" s="75"/>
      <c r="BL649" s="75"/>
      <c r="BM649" s="75"/>
      <c r="BN649" s="75"/>
      <c r="BO649" s="75"/>
      <c r="BP649" s="75"/>
      <c r="BQ649" s="75"/>
      <c r="BR649" s="75"/>
      <c r="BS649" s="75"/>
    </row>
    <row r="650" ht="15.75" customHeight="1">
      <c r="A650" s="106"/>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75"/>
      <c r="BI650" s="75"/>
      <c r="BJ650" s="75"/>
      <c r="BK650" s="75"/>
      <c r="BL650" s="75"/>
      <c r="BM650" s="75"/>
      <c r="BN650" s="75"/>
      <c r="BO650" s="75"/>
      <c r="BP650" s="75"/>
      <c r="BQ650" s="75"/>
      <c r="BR650" s="75"/>
      <c r="BS650" s="75"/>
    </row>
    <row r="651" ht="15.75" customHeight="1">
      <c r="A651" s="106"/>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75"/>
      <c r="BI651" s="75"/>
      <c r="BJ651" s="75"/>
      <c r="BK651" s="75"/>
      <c r="BL651" s="75"/>
      <c r="BM651" s="75"/>
      <c r="BN651" s="75"/>
      <c r="BO651" s="75"/>
      <c r="BP651" s="75"/>
      <c r="BQ651" s="75"/>
      <c r="BR651" s="75"/>
      <c r="BS651" s="75"/>
    </row>
    <row r="652" ht="15.75" customHeight="1">
      <c r="A652" s="106"/>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75"/>
      <c r="BI652" s="75"/>
      <c r="BJ652" s="75"/>
      <c r="BK652" s="75"/>
      <c r="BL652" s="75"/>
      <c r="BM652" s="75"/>
      <c r="BN652" s="75"/>
      <c r="BO652" s="75"/>
      <c r="BP652" s="75"/>
      <c r="BQ652" s="75"/>
      <c r="BR652" s="75"/>
      <c r="BS652" s="75"/>
    </row>
    <row r="653" ht="15.75" customHeight="1">
      <c r="A653" s="106"/>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75"/>
      <c r="BI653" s="75"/>
      <c r="BJ653" s="75"/>
      <c r="BK653" s="75"/>
      <c r="BL653" s="75"/>
      <c r="BM653" s="75"/>
      <c r="BN653" s="75"/>
      <c r="BO653" s="75"/>
      <c r="BP653" s="75"/>
      <c r="BQ653" s="75"/>
      <c r="BR653" s="75"/>
      <c r="BS653" s="75"/>
    </row>
    <row r="654" ht="15.75" customHeight="1">
      <c r="A654" s="106"/>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75"/>
      <c r="BI654" s="75"/>
      <c r="BJ654" s="75"/>
      <c r="BK654" s="75"/>
      <c r="BL654" s="75"/>
      <c r="BM654" s="75"/>
      <c r="BN654" s="75"/>
      <c r="BO654" s="75"/>
      <c r="BP654" s="75"/>
      <c r="BQ654" s="75"/>
      <c r="BR654" s="75"/>
      <c r="BS654" s="75"/>
    </row>
    <row r="655" ht="15.75" customHeight="1">
      <c r="A655" s="106"/>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75"/>
      <c r="BI655" s="75"/>
      <c r="BJ655" s="75"/>
      <c r="BK655" s="75"/>
      <c r="BL655" s="75"/>
      <c r="BM655" s="75"/>
      <c r="BN655" s="75"/>
      <c r="BO655" s="75"/>
      <c r="BP655" s="75"/>
      <c r="BQ655" s="75"/>
      <c r="BR655" s="75"/>
      <c r="BS655" s="75"/>
    </row>
    <row r="656" ht="15.75" customHeight="1">
      <c r="A656" s="106"/>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75"/>
      <c r="BI656" s="75"/>
      <c r="BJ656" s="75"/>
      <c r="BK656" s="75"/>
      <c r="BL656" s="75"/>
      <c r="BM656" s="75"/>
      <c r="BN656" s="75"/>
      <c r="BO656" s="75"/>
      <c r="BP656" s="75"/>
      <c r="BQ656" s="75"/>
      <c r="BR656" s="75"/>
      <c r="BS656" s="75"/>
    </row>
    <row r="657" ht="15.75" customHeight="1">
      <c r="A657" s="106"/>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c r="BJ657" s="75"/>
      <c r="BK657" s="75"/>
      <c r="BL657" s="75"/>
      <c r="BM657" s="75"/>
      <c r="BN657" s="75"/>
      <c r="BO657" s="75"/>
      <c r="BP657" s="75"/>
      <c r="BQ657" s="75"/>
      <c r="BR657" s="75"/>
      <c r="BS657" s="75"/>
    </row>
    <row r="658" ht="15.75" customHeight="1">
      <c r="A658" s="106"/>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75"/>
      <c r="BI658" s="75"/>
      <c r="BJ658" s="75"/>
      <c r="BK658" s="75"/>
      <c r="BL658" s="75"/>
      <c r="BM658" s="75"/>
      <c r="BN658" s="75"/>
      <c r="BO658" s="75"/>
      <c r="BP658" s="75"/>
      <c r="BQ658" s="75"/>
      <c r="BR658" s="75"/>
      <c r="BS658" s="75"/>
    </row>
    <row r="659" ht="15.75" customHeight="1">
      <c r="A659" s="106"/>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c r="BJ659" s="75"/>
      <c r="BK659" s="75"/>
      <c r="BL659" s="75"/>
      <c r="BM659" s="75"/>
      <c r="BN659" s="75"/>
      <c r="BO659" s="75"/>
      <c r="BP659" s="75"/>
      <c r="BQ659" s="75"/>
      <c r="BR659" s="75"/>
      <c r="BS659" s="75"/>
    </row>
    <row r="660" ht="15.75" customHeight="1">
      <c r="A660" s="106"/>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75"/>
      <c r="BI660" s="75"/>
      <c r="BJ660" s="75"/>
      <c r="BK660" s="75"/>
      <c r="BL660" s="75"/>
      <c r="BM660" s="75"/>
      <c r="BN660" s="75"/>
      <c r="BO660" s="75"/>
      <c r="BP660" s="75"/>
      <c r="BQ660" s="75"/>
      <c r="BR660" s="75"/>
      <c r="BS660" s="75"/>
    </row>
    <row r="661" ht="15.75" customHeight="1">
      <c r="A661" s="106"/>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75"/>
      <c r="BI661" s="75"/>
      <c r="BJ661" s="75"/>
      <c r="BK661" s="75"/>
      <c r="BL661" s="75"/>
      <c r="BM661" s="75"/>
      <c r="BN661" s="75"/>
      <c r="BO661" s="75"/>
      <c r="BP661" s="75"/>
      <c r="BQ661" s="75"/>
      <c r="BR661" s="75"/>
      <c r="BS661" s="75"/>
    </row>
    <row r="662" ht="15.75" customHeight="1">
      <c r="A662" s="106"/>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75"/>
      <c r="BI662" s="75"/>
      <c r="BJ662" s="75"/>
      <c r="BK662" s="75"/>
      <c r="BL662" s="75"/>
      <c r="BM662" s="75"/>
      <c r="BN662" s="75"/>
      <c r="BO662" s="75"/>
      <c r="BP662" s="75"/>
      <c r="BQ662" s="75"/>
      <c r="BR662" s="75"/>
      <c r="BS662" s="75"/>
    </row>
    <row r="663" ht="15.75" customHeight="1">
      <c r="A663" s="106"/>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75"/>
      <c r="BI663" s="75"/>
      <c r="BJ663" s="75"/>
      <c r="BK663" s="75"/>
      <c r="BL663" s="75"/>
      <c r="BM663" s="75"/>
      <c r="BN663" s="75"/>
      <c r="BO663" s="75"/>
      <c r="BP663" s="75"/>
      <c r="BQ663" s="75"/>
      <c r="BR663" s="75"/>
      <c r="BS663" s="75"/>
    </row>
    <row r="664" ht="15.75" customHeight="1">
      <c r="A664" s="106"/>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c r="BJ664" s="75"/>
      <c r="BK664" s="75"/>
      <c r="BL664" s="75"/>
      <c r="BM664" s="75"/>
      <c r="BN664" s="75"/>
      <c r="BO664" s="75"/>
      <c r="BP664" s="75"/>
      <c r="BQ664" s="75"/>
      <c r="BR664" s="75"/>
      <c r="BS664" s="75"/>
    </row>
    <row r="665" ht="15.75" customHeight="1">
      <c r="A665" s="106"/>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75"/>
      <c r="BI665" s="75"/>
      <c r="BJ665" s="75"/>
      <c r="BK665" s="75"/>
      <c r="BL665" s="75"/>
      <c r="BM665" s="75"/>
      <c r="BN665" s="75"/>
      <c r="BO665" s="75"/>
      <c r="BP665" s="75"/>
      <c r="BQ665" s="75"/>
      <c r="BR665" s="75"/>
      <c r="BS665" s="75"/>
    </row>
    <row r="666" ht="15.75" customHeight="1">
      <c r="A666" s="106"/>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75"/>
      <c r="BI666" s="75"/>
      <c r="BJ666" s="75"/>
      <c r="BK666" s="75"/>
      <c r="BL666" s="75"/>
      <c r="BM666" s="75"/>
      <c r="BN666" s="75"/>
      <c r="BO666" s="75"/>
      <c r="BP666" s="75"/>
      <c r="BQ666" s="75"/>
      <c r="BR666" s="75"/>
      <c r="BS666" s="75"/>
    </row>
    <row r="667" ht="15.75" customHeight="1">
      <c r="A667" s="106"/>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c r="BJ667" s="75"/>
      <c r="BK667" s="75"/>
      <c r="BL667" s="75"/>
      <c r="BM667" s="75"/>
      <c r="BN667" s="75"/>
      <c r="BO667" s="75"/>
      <c r="BP667" s="75"/>
      <c r="BQ667" s="75"/>
      <c r="BR667" s="75"/>
      <c r="BS667" s="75"/>
    </row>
    <row r="668" ht="15.75" customHeight="1">
      <c r="A668" s="106"/>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c r="BJ668" s="75"/>
      <c r="BK668" s="75"/>
      <c r="BL668" s="75"/>
      <c r="BM668" s="75"/>
      <c r="BN668" s="75"/>
      <c r="BO668" s="75"/>
      <c r="BP668" s="75"/>
      <c r="BQ668" s="75"/>
      <c r="BR668" s="75"/>
      <c r="BS668" s="75"/>
    </row>
    <row r="669" ht="15.75" customHeight="1">
      <c r="A669" s="106"/>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c r="BJ669" s="75"/>
      <c r="BK669" s="75"/>
      <c r="BL669" s="75"/>
      <c r="BM669" s="75"/>
      <c r="BN669" s="75"/>
      <c r="BO669" s="75"/>
      <c r="BP669" s="75"/>
      <c r="BQ669" s="75"/>
      <c r="BR669" s="75"/>
      <c r="BS669" s="75"/>
    </row>
    <row r="670" ht="15.75" customHeight="1">
      <c r="A670" s="106"/>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c r="BJ670" s="75"/>
      <c r="BK670" s="75"/>
      <c r="BL670" s="75"/>
      <c r="BM670" s="75"/>
      <c r="BN670" s="75"/>
      <c r="BO670" s="75"/>
      <c r="BP670" s="75"/>
      <c r="BQ670" s="75"/>
      <c r="BR670" s="75"/>
      <c r="BS670" s="75"/>
    </row>
    <row r="671" ht="15.75" customHeight="1">
      <c r="A671" s="106"/>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c r="BJ671" s="75"/>
      <c r="BK671" s="75"/>
      <c r="BL671" s="75"/>
      <c r="BM671" s="75"/>
      <c r="BN671" s="75"/>
      <c r="BO671" s="75"/>
      <c r="BP671" s="75"/>
      <c r="BQ671" s="75"/>
      <c r="BR671" s="75"/>
      <c r="BS671" s="75"/>
    </row>
    <row r="672" ht="15.75" customHeight="1">
      <c r="A672" s="106"/>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c r="BJ672" s="75"/>
      <c r="BK672" s="75"/>
      <c r="BL672" s="75"/>
      <c r="BM672" s="75"/>
      <c r="BN672" s="75"/>
      <c r="BO672" s="75"/>
      <c r="BP672" s="75"/>
      <c r="BQ672" s="75"/>
      <c r="BR672" s="75"/>
      <c r="BS672" s="75"/>
    </row>
    <row r="673" ht="15.75" customHeight="1">
      <c r="A673" s="106"/>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75"/>
      <c r="BI673" s="75"/>
      <c r="BJ673" s="75"/>
      <c r="BK673" s="75"/>
      <c r="BL673" s="75"/>
      <c r="BM673" s="75"/>
      <c r="BN673" s="75"/>
      <c r="BO673" s="75"/>
      <c r="BP673" s="75"/>
      <c r="BQ673" s="75"/>
      <c r="BR673" s="75"/>
      <c r="BS673" s="75"/>
    </row>
    <row r="674" ht="15.75" customHeight="1">
      <c r="A674" s="106"/>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c r="BJ674" s="75"/>
      <c r="BK674" s="75"/>
      <c r="BL674" s="75"/>
      <c r="BM674" s="75"/>
      <c r="BN674" s="75"/>
      <c r="BO674" s="75"/>
      <c r="BP674" s="75"/>
      <c r="BQ674" s="75"/>
      <c r="BR674" s="75"/>
      <c r="BS674" s="75"/>
    </row>
    <row r="675" ht="15.75" customHeight="1">
      <c r="A675" s="106"/>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c r="BJ675" s="75"/>
      <c r="BK675" s="75"/>
      <c r="BL675" s="75"/>
      <c r="BM675" s="75"/>
      <c r="BN675" s="75"/>
      <c r="BO675" s="75"/>
      <c r="BP675" s="75"/>
      <c r="BQ675" s="75"/>
      <c r="BR675" s="75"/>
      <c r="BS675" s="75"/>
    </row>
    <row r="676" ht="15.75" customHeight="1">
      <c r="A676" s="106"/>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c r="BJ676" s="75"/>
      <c r="BK676" s="75"/>
      <c r="BL676" s="75"/>
      <c r="BM676" s="75"/>
      <c r="BN676" s="75"/>
      <c r="BO676" s="75"/>
      <c r="BP676" s="75"/>
      <c r="BQ676" s="75"/>
      <c r="BR676" s="75"/>
      <c r="BS676" s="75"/>
    </row>
    <row r="677" ht="15.75" customHeight="1">
      <c r="A677" s="106"/>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c r="BJ677" s="75"/>
      <c r="BK677" s="75"/>
      <c r="BL677" s="75"/>
      <c r="BM677" s="75"/>
      <c r="BN677" s="75"/>
      <c r="BO677" s="75"/>
      <c r="BP677" s="75"/>
      <c r="BQ677" s="75"/>
      <c r="BR677" s="75"/>
      <c r="BS677" s="75"/>
    </row>
    <row r="678" ht="15.75" customHeight="1">
      <c r="A678" s="106"/>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75"/>
      <c r="BI678" s="75"/>
      <c r="BJ678" s="75"/>
      <c r="BK678" s="75"/>
      <c r="BL678" s="75"/>
      <c r="BM678" s="75"/>
      <c r="BN678" s="75"/>
      <c r="BO678" s="75"/>
      <c r="BP678" s="75"/>
      <c r="BQ678" s="75"/>
      <c r="BR678" s="75"/>
      <c r="BS678" s="75"/>
    </row>
    <row r="679" ht="15.75" customHeight="1">
      <c r="A679" s="106"/>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75"/>
      <c r="BI679" s="75"/>
      <c r="BJ679" s="75"/>
      <c r="BK679" s="75"/>
      <c r="BL679" s="75"/>
      <c r="BM679" s="75"/>
      <c r="BN679" s="75"/>
      <c r="BO679" s="75"/>
      <c r="BP679" s="75"/>
      <c r="BQ679" s="75"/>
      <c r="BR679" s="75"/>
      <c r="BS679" s="75"/>
    </row>
    <row r="680" ht="15.75" customHeight="1">
      <c r="A680" s="106"/>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75"/>
      <c r="BI680" s="75"/>
      <c r="BJ680" s="75"/>
      <c r="BK680" s="75"/>
      <c r="BL680" s="75"/>
      <c r="BM680" s="75"/>
      <c r="BN680" s="75"/>
      <c r="BO680" s="75"/>
      <c r="BP680" s="75"/>
      <c r="BQ680" s="75"/>
      <c r="BR680" s="75"/>
      <c r="BS680" s="75"/>
    </row>
    <row r="681" ht="15.75" customHeight="1">
      <c r="A681" s="106"/>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c r="BJ681" s="75"/>
      <c r="BK681" s="75"/>
      <c r="BL681" s="75"/>
      <c r="BM681" s="75"/>
      <c r="BN681" s="75"/>
      <c r="BO681" s="75"/>
      <c r="BP681" s="75"/>
      <c r="BQ681" s="75"/>
      <c r="BR681" s="75"/>
      <c r="BS681" s="75"/>
    </row>
    <row r="682" ht="15.75" customHeight="1">
      <c r="A682" s="106"/>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c r="BJ682" s="75"/>
      <c r="BK682" s="75"/>
      <c r="BL682" s="75"/>
      <c r="BM682" s="75"/>
      <c r="BN682" s="75"/>
      <c r="BO682" s="75"/>
      <c r="BP682" s="75"/>
      <c r="BQ682" s="75"/>
      <c r="BR682" s="75"/>
      <c r="BS682" s="75"/>
    </row>
    <row r="683" ht="15.75" customHeight="1">
      <c r="A683" s="106"/>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75"/>
      <c r="BI683" s="75"/>
      <c r="BJ683" s="75"/>
      <c r="BK683" s="75"/>
      <c r="BL683" s="75"/>
      <c r="BM683" s="75"/>
      <c r="BN683" s="75"/>
      <c r="BO683" s="75"/>
      <c r="BP683" s="75"/>
      <c r="BQ683" s="75"/>
      <c r="BR683" s="75"/>
      <c r="BS683" s="75"/>
    </row>
    <row r="684" ht="15.75" customHeight="1">
      <c r="A684" s="106"/>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c r="BJ684" s="75"/>
      <c r="BK684" s="75"/>
      <c r="BL684" s="75"/>
      <c r="BM684" s="75"/>
      <c r="BN684" s="75"/>
      <c r="BO684" s="75"/>
      <c r="BP684" s="75"/>
      <c r="BQ684" s="75"/>
      <c r="BR684" s="75"/>
      <c r="BS684" s="75"/>
    </row>
    <row r="685" ht="15.75" customHeight="1">
      <c r="A685" s="106"/>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c r="BJ685" s="75"/>
      <c r="BK685" s="75"/>
      <c r="BL685" s="75"/>
      <c r="BM685" s="75"/>
      <c r="BN685" s="75"/>
      <c r="BO685" s="75"/>
      <c r="BP685" s="75"/>
      <c r="BQ685" s="75"/>
      <c r="BR685" s="75"/>
      <c r="BS685" s="75"/>
    </row>
    <row r="686" ht="15.75" customHeight="1">
      <c r="A686" s="106"/>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c r="BJ686" s="75"/>
      <c r="BK686" s="75"/>
      <c r="BL686" s="75"/>
      <c r="BM686" s="75"/>
      <c r="BN686" s="75"/>
      <c r="BO686" s="75"/>
      <c r="BP686" s="75"/>
      <c r="BQ686" s="75"/>
      <c r="BR686" s="75"/>
      <c r="BS686" s="75"/>
    </row>
    <row r="687" ht="15.75" customHeight="1">
      <c r="A687" s="106"/>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75"/>
      <c r="BI687" s="75"/>
      <c r="BJ687" s="75"/>
      <c r="BK687" s="75"/>
      <c r="BL687" s="75"/>
      <c r="BM687" s="75"/>
      <c r="BN687" s="75"/>
      <c r="BO687" s="75"/>
      <c r="BP687" s="75"/>
      <c r="BQ687" s="75"/>
      <c r="BR687" s="75"/>
      <c r="BS687" s="75"/>
    </row>
    <row r="688" ht="15.75" customHeight="1">
      <c r="A688" s="106"/>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75"/>
      <c r="BI688" s="75"/>
      <c r="BJ688" s="75"/>
      <c r="BK688" s="75"/>
      <c r="BL688" s="75"/>
      <c r="BM688" s="75"/>
      <c r="BN688" s="75"/>
      <c r="BO688" s="75"/>
      <c r="BP688" s="75"/>
      <c r="BQ688" s="75"/>
      <c r="BR688" s="75"/>
      <c r="BS688" s="75"/>
    </row>
    <row r="689" ht="15.75" customHeight="1">
      <c r="A689" s="106"/>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75"/>
      <c r="BI689" s="75"/>
      <c r="BJ689" s="75"/>
      <c r="BK689" s="75"/>
      <c r="BL689" s="75"/>
      <c r="BM689" s="75"/>
      <c r="BN689" s="75"/>
      <c r="BO689" s="75"/>
      <c r="BP689" s="75"/>
      <c r="BQ689" s="75"/>
      <c r="BR689" s="75"/>
      <c r="BS689" s="75"/>
    </row>
    <row r="690" ht="15.75" customHeight="1">
      <c r="A690" s="106"/>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75"/>
      <c r="BI690" s="75"/>
      <c r="BJ690" s="75"/>
      <c r="BK690" s="75"/>
      <c r="BL690" s="75"/>
      <c r="BM690" s="75"/>
      <c r="BN690" s="75"/>
      <c r="BO690" s="75"/>
      <c r="BP690" s="75"/>
      <c r="BQ690" s="75"/>
      <c r="BR690" s="75"/>
      <c r="BS690" s="75"/>
    </row>
    <row r="691" ht="15.75" customHeight="1">
      <c r="A691" s="106"/>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c r="BJ691" s="75"/>
      <c r="BK691" s="75"/>
      <c r="BL691" s="75"/>
      <c r="BM691" s="75"/>
      <c r="BN691" s="75"/>
      <c r="BO691" s="75"/>
      <c r="BP691" s="75"/>
      <c r="BQ691" s="75"/>
      <c r="BR691" s="75"/>
      <c r="BS691" s="75"/>
    </row>
    <row r="692" ht="15.75" customHeight="1">
      <c r="A692" s="106"/>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c r="BJ692" s="75"/>
      <c r="BK692" s="75"/>
      <c r="BL692" s="75"/>
      <c r="BM692" s="75"/>
      <c r="BN692" s="75"/>
      <c r="BO692" s="75"/>
      <c r="BP692" s="75"/>
      <c r="BQ692" s="75"/>
      <c r="BR692" s="75"/>
      <c r="BS692" s="75"/>
    </row>
    <row r="693" ht="15.75" customHeight="1">
      <c r="A693" s="106"/>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75"/>
      <c r="BI693" s="75"/>
      <c r="BJ693" s="75"/>
      <c r="BK693" s="75"/>
      <c r="BL693" s="75"/>
      <c r="BM693" s="75"/>
      <c r="BN693" s="75"/>
      <c r="BO693" s="75"/>
      <c r="BP693" s="75"/>
      <c r="BQ693" s="75"/>
      <c r="BR693" s="75"/>
      <c r="BS693" s="75"/>
    </row>
    <row r="694" ht="15.75" customHeight="1">
      <c r="A694" s="106"/>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75"/>
      <c r="BI694" s="75"/>
      <c r="BJ694" s="75"/>
      <c r="BK694" s="75"/>
      <c r="BL694" s="75"/>
      <c r="BM694" s="75"/>
      <c r="BN694" s="75"/>
      <c r="BO694" s="75"/>
      <c r="BP694" s="75"/>
      <c r="BQ694" s="75"/>
      <c r="BR694" s="75"/>
      <c r="BS694" s="75"/>
    </row>
    <row r="695" ht="15.75" customHeight="1">
      <c r="A695" s="106"/>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75"/>
      <c r="BI695" s="75"/>
      <c r="BJ695" s="75"/>
      <c r="BK695" s="75"/>
      <c r="BL695" s="75"/>
      <c r="BM695" s="75"/>
      <c r="BN695" s="75"/>
      <c r="BO695" s="75"/>
      <c r="BP695" s="75"/>
      <c r="BQ695" s="75"/>
      <c r="BR695" s="75"/>
      <c r="BS695" s="75"/>
    </row>
    <row r="696" ht="15.75" customHeight="1">
      <c r="A696" s="106"/>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75"/>
      <c r="BI696" s="75"/>
      <c r="BJ696" s="75"/>
      <c r="BK696" s="75"/>
      <c r="BL696" s="75"/>
      <c r="BM696" s="75"/>
      <c r="BN696" s="75"/>
      <c r="BO696" s="75"/>
      <c r="BP696" s="75"/>
      <c r="BQ696" s="75"/>
      <c r="BR696" s="75"/>
      <c r="BS696" s="75"/>
    </row>
    <row r="697" ht="15.75" customHeight="1">
      <c r="A697" s="106"/>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75"/>
      <c r="BI697" s="75"/>
      <c r="BJ697" s="75"/>
      <c r="BK697" s="75"/>
      <c r="BL697" s="75"/>
      <c r="BM697" s="75"/>
      <c r="BN697" s="75"/>
      <c r="BO697" s="75"/>
      <c r="BP697" s="75"/>
      <c r="BQ697" s="75"/>
      <c r="BR697" s="75"/>
      <c r="BS697" s="75"/>
    </row>
    <row r="698" ht="15.75" customHeight="1">
      <c r="A698" s="106"/>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75"/>
      <c r="BI698" s="75"/>
      <c r="BJ698" s="75"/>
      <c r="BK698" s="75"/>
      <c r="BL698" s="75"/>
      <c r="BM698" s="75"/>
      <c r="BN698" s="75"/>
      <c r="BO698" s="75"/>
      <c r="BP698" s="75"/>
      <c r="BQ698" s="75"/>
      <c r="BR698" s="75"/>
      <c r="BS698" s="75"/>
    </row>
    <row r="699" ht="15.75" customHeight="1">
      <c r="A699" s="106"/>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75"/>
      <c r="BI699" s="75"/>
      <c r="BJ699" s="75"/>
      <c r="BK699" s="75"/>
      <c r="BL699" s="75"/>
      <c r="BM699" s="75"/>
      <c r="BN699" s="75"/>
      <c r="BO699" s="75"/>
      <c r="BP699" s="75"/>
      <c r="BQ699" s="75"/>
      <c r="BR699" s="75"/>
      <c r="BS699" s="75"/>
    </row>
    <row r="700" ht="15.75" customHeight="1">
      <c r="A700" s="106"/>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75"/>
      <c r="BI700" s="75"/>
      <c r="BJ700" s="75"/>
      <c r="BK700" s="75"/>
      <c r="BL700" s="75"/>
      <c r="BM700" s="75"/>
      <c r="BN700" s="75"/>
      <c r="BO700" s="75"/>
      <c r="BP700" s="75"/>
      <c r="BQ700" s="75"/>
      <c r="BR700" s="75"/>
      <c r="BS700" s="75"/>
    </row>
    <row r="701" ht="15.75" customHeight="1">
      <c r="A701" s="106"/>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c r="BJ701" s="75"/>
      <c r="BK701" s="75"/>
      <c r="BL701" s="75"/>
      <c r="BM701" s="75"/>
      <c r="BN701" s="75"/>
      <c r="BO701" s="75"/>
      <c r="BP701" s="75"/>
      <c r="BQ701" s="75"/>
      <c r="BR701" s="75"/>
      <c r="BS701" s="75"/>
    </row>
    <row r="702" ht="15.75" customHeight="1">
      <c r="A702" s="106"/>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75"/>
      <c r="BI702" s="75"/>
      <c r="BJ702" s="75"/>
      <c r="BK702" s="75"/>
      <c r="BL702" s="75"/>
      <c r="BM702" s="75"/>
      <c r="BN702" s="75"/>
      <c r="BO702" s="75"/>
      <c r="BP702" s="75"/>
      <c r="BQ702" s="75"/>
      <c r="BR702" s="75"/>
      <c r="BS702" s="75"/>
    </row>
    <row r="703" ht="15.75" customHeight="1">
      <c r="A703" s="106"/>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75"/>
      <c r="BI703" s="75"/>
      <c r="BJ703" s="75"/>
      <c r="BK703" s="75"/>
      <c r="BL703" s="75"/>
      <c r="BM703" s="75"/>
      <c r="BN703" s="75"/>
      <c r="BO703" s="75"/>
      <c r="BP703" s="75"/>
      <c r="BQ703" s="75"/>
      <c r="BR703" s="75"/>
      <c r="BS703" s="75"/>
    </row>
    <row r="704" ht="15.75" customHeight="1">
      <c r="A704" s="106"/>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75"/>
      <c r="BI704" s="75"/>
      <c r="BJ704" s="75"/>
      <c r="BK704" s="75"/>
      <c r="BL704" s="75"/>
      <c r="BM704" s="75"/>
      <c r="BN704" s="75"/>
      <c r="BO704" s="75"/>
      <c r="BP704" s="75"/>
      <c r="BQ704" s="75"/>
      <c r="BR704" s="75"/>
      <c r="BS704" s="75"/>
    </row>
    <row r="705" ht="15.75" customHeight="1">
      <c r="A705" s="106"/>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75"/>
      <c r="BI705" s="75"/>
      <c r="BJ705" s="75"/>
      <c r="BK705" s="75"/>
      <c r="BL705" s="75"/>
      <c r="BM705" s="75"/>
      <c r="BN705" s="75"/>
      <c r="BO705" s="75"/>
      <c r="BP705" s="75"/>
      <c r="BQ705" s="75"/>
      <c r="BR705" s="75"/>
      <c r="BS705" s="75"/>
    </row>
    <row r="706" ht="15.75" customHeight="1">
      <c r="A706" s="106"/>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75"/>
      <c r="BI706" s="75"/>
      <c r="BJ706" s="75"/>
      <c r="BK706" s="75"/>
      <c r="BL706" s="75"/>
      <c r="BM706" s="75"/>
      <c r="BN706" s="75"/>
      <c r="BO706" s="75"/>
      <c r="BP706" s="75"/>
      <c r="BQ706" s="75"/>
      <c r="BR706" s="75"/>
      <c r="BS706" s="75"/>
    </row>
    <row r="707" ht="15.75" customHeight="1">
      <c r="A707" s="106"/>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75"/>
      <c r="BI707" s="75"/>
      <c r="BJ707" s="75"/>
      <c r="BK707" s="75"/>
      <c r="BL707" s="75"/>
      <c r="BM707" s="75"/>
      <c r="BN707" s="75"/>
      <c r="BO707" s="75"/>
      <c r="BP707" s="75"/>
      <c r="BQ707" s="75"/>
      <c r="BR707" s="75"/>
      <c r="BS707" s="75"/>
    </row>
    <row r="708" ht="15.75" customHeight="1">
      <c r="A708" s="106"/>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75"/>
      <c r="BI708" s="75"/>
      <c r="BJ708" s="75"/>
      <c r="BK708" s="75"/>
      <c r="BL708" s="75"/>
      <c r="BM708" s="75"/>
      <c r="BN708" s="75"/>
      <c r="BO708" s="75"/>
      <c r="BP708" s="75"/>
      <c r="BQ708" s="75"/>
      <c r="BR708" s="75"/>
      <c r="BS708" s="75"/>
    </row>
    <row r="709" ht="15.75" customHeight="1">
      <c r="A709" s="106"/>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75"/>
      <c r="BI709" s="75"/>
      <c r="BJ709" s="75"/>
      <c r="BK709" s="75"/>
      <c r="BL709" s="75"/>
      <c r="BM709" s="75"/>
      <c r="BN709" s="75"/>
      <c r="BO709" s="75"/>
      <c r="BP709" s="75"/>
      <c r="BQ709" s="75"/>
      <c r="BR709" s="75"/>
      <c r="BS709" s="75"/>
    </row>
    <row r="710" ht="15.75" customHeight="1">
      <c r="A710" s="106"/>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75"/>
      <c r="BI710" s="75"/>
      <c r="BJ710" s="75"/>
      <c r="BK710" s="75"/>
      <c r="BL710" s="75"/>
      <c r="BM710" s="75"/>
      <c r="BN710" s="75"/>
      <c r="BO710" s="75"/>
      <c r="BP710" s="75"/>
      <c r="BQ710" s="75"/>
      <c r="BR710" s="75"/>
      <c r="BS710" s="75"/>
    </row>
    <row r="711" ht="15.75" customHeight="1">
      <c r="A711" s="106"/>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75"/>
      <c r="BI711" s="75"/>
      <c r="BJ711" s="75"/>
      <c r="BK711" s="75"/>
      <c r="BL711" s="75"/>
      <c r="BM711" s="75"/>
      <c r="BN711" s="75"/>
      <c r="BO711" s="75"/>
      <c r="BP711" s="75"/>
      <c r="BQ711" s="75"/>
      <c r="BR711" s="75"/>
      <c r="BS711" s="75"/>
    </row>
    <row r="712" ht="15.75" customHeight="1">
      <c r="A712" s="106"/>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75"/>
      <c r="BI712" s="75"/>
      <c r="BJ712" s="75"/>
      <c r="BK712" s="75"/>
      <c r="BL712" s="75"/>
      <c r="BM712" s="75"/>
      <c r="BN712" s="75"/>
      <c r="BO712" s="75"/>
      <c r="BP712" s="75"/>
      <c r="BQ712" s="75"/>
      <c r="BR712" s="75"/>
      <c r="BS712" s="75"/>
    </row>
    <row r="713" ht="15.75" customHeight="1">
      <c r="A713" s="106"/>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75"/>
      <c r="BI713" s="75"/>
      <c r="BJ713" s="75"/>
      <c r="BK713" s="75"/>
      <c r="BL713" s="75"/>
      <c r="BM713" s="75"/>
      <c r="BN713" s="75"/>
      <c r="BO713" s="75"/>
      <c r="BP713" s="75"/>
      <c r="BQ713" s="75"/>
      <c r="BR713" s="75"/>
      <c r="BS713" s="75"/>
    </row>
    <row r="714" ht="15.75" customHeight="1">
      <c r="A714" s="106"/>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c r="BJ714" s="75"/>
      <c r="BK714" s="75"/>
      <c r="BL714" s="75"/>
      <c r="BM714" s="75"/>
      <c r="BN714" s="75"/>
      <c r="BO714" s="75"/>
      <c r="BP714" s="75"/>
      <c r="BQ714" s="75"/>
      <c r="BR714" s="75"/>
      <c r="BS714" s="75"/>
    </row>
    <row r="715" ht="15.75" customHeight="1">
      <c r="A715" s="106"/>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c r="BJ715" s="75"/>
      <c r="BK715" s="75"/>
      <c r="BL715" s="75"/>
      <c r="BM715" s="75"/>
      <c r="BN715" s="75"/>
      <c r="BO715" s="75"/>
      <c r="BP715" s="75"/>
      <c r="BQ715" s="75"/>
      <c r="BR715" s="75"/>
      <c r="BS715" s="75"/>
    </row>
    <row r="716" ht="15.75" customHeight="1">
      <c r="A716" s="106"/>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c r="BJ716" s="75"/>
      <c r="BK716" s="75"/>
      <c r="BL716" s="75"/>
      <c r="BM716" s="75"/>
      <c r="BN716" s="75"/>
      <c r="BO716" s="75"/>
      <c r="BP716" s="75"/>
      <c r="BQ716" s="75"/>
      <c r="BR716" s="75"/>
      <c r="BS716" s="75"/>
    </row>
    <row r="717" ht="15.75" customHeight="1">
      <c r="A717" s="106"/>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c r="BJ717" s="75"/>
      <c r="BK717" s="75"/>
      <c r="BL717" s="75"/>
      <c r="BM717" s="75"/>
      <c r="BN717" s="75"/>
      <c r="BO717" s="75"/>
      <c r="BP717" s="75"/>
      <c r="BQ717" s="75"/>
      <c r="BR717" s="75"/>
      <c r="BS717" s="75"/>
    </row>
    <row r="718" ht="15.75" customHeight="1">
      <c r="A718" s="106"/>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75"/>
      <c r="BI718" s="75"/>
      <c r="BJ718" s="75"/>
      <c r="BK718" s="75"/>
      <c r="BL718" s="75"/>
      <c r="BM718" s="75"/>
      <c r="BN718" s="75"/>
      <c r="BO718" s="75"/>
      <c r="BP718" s="75"/>
      <c r="BQ718" s="75"/>
      <c r="BR718" s="75"/>
      <c r="BS718" s="75"/>
    </row>
    <row r="719" ht="15.75" customHeight="1">
      <c r="A719" s="106"/>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75"/>
      <c r="BI719" s="75"/>
      <c r="BJ719" s="75"/>
      <c r="BK719" s="75"/>
      <c r="BL719" s="75"/>
      <c r="BM719" s="75"/>
      <c r="BN719" s="75"/>
      <c r="BO719" s="75"/>
      <c r="BP719" s="75"/>
      <c r="BQ719" s="75"/>
      <c r="BR719" s="75"/>
      <c r="BS719" s="75"/>
    </row>
    <row r="720" ht="15.75" customHeight="1">
      <c r="A720" s="106"/>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75"/>
      <c r="BI720" s="75"/>
      <c r="BJ720" s="75"/>
      <c r="BK720" s="75"/>
      <c r="BL720" s="75"/>
      <c r="BM720" s="75"/>
      <c r="BN720" s="75"/>
      <c r="BO720" s="75"/>
      <c r="BP720" s="75"/>
      <c r="BQ720" s="75"/>
      <c r="BR720" s="75"/>
      <c r="BS720" s="75"/>
    </row>
    <row r="721" ht="15.75" customHeight="1">
      <c r="A721" s="106"/>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c r="BJ721" s="75"/>
      <c r="BK721" s="75"/>
      <c r="BL721" s="75"/>
      <c r="BM721" s="75"/>
      <c r="BN721" s="75"/>
      <c r="BO721" s="75"/>
      <c r="BP721" s="75"/>
      <c r="BQ721" s="75"/>
      <c r="BR721" s="75"/>
      <c r="BS721" s="75"/>
    </row>
    <row r="722" ht="15.75" customHeight="1">
      <c r="A722" s="106"/>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c r="BJ722" s="75"/>
      <c r="BK722" s="75"/>
      <c r="BL722" s="75"/>
      <c r="BM722" s="75"/>
      <c r="BN722" s="75"/>
      <c r="BO722" s="75"/>
      <c r="BP722" s="75"/>
      <c r="BQ722" s="75"/>
      <c r="BR722" s="75"/>
      <c r="BS722" s="75"/>
    </row>
    <row r="723" ht="15.75" customHeight="1">
      <c r="A723" s="106"/>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75"/>
      <c r="BI723" s="75"/>
      <c r="BJ723" s="75"/>
      <c r="BK723" s="75"/>
      <c r="BL723" s="75"/>
      <c r="BM723" s="75"/>
      <c r="BN723" s="75"/>
      <c r="BO723" s="75"/>
      <c r="BP723" s="75"/>
      <c r="BQ723" s="75"/>
      <c r="BR723" s="75"/>
      <c r="BS723" s="75"/>
    </row>
    <row r="724" ht="15.75" customHeight="1">
      <c r="A724" s="106"/>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c r="BJ724" s="75"/>
      <c r="BK724" s="75"/>
      <c r="BL724" s="75"/>
      <c r="BM724" s="75"/>
      <c r="BN724" s="75"/>
      <c r="BO724" s="75"/>
      <c r="BP724" s="75"/>
      <c r="BQ724" s="75"/>
      <c r="BR724" s="75"/>
      <c r="BS724" s="75"/>
    </row>
    <row r="725" ht="15.75" customHeight="1">
      <c r="A725" s="106"/>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c r="BJ725" s="75"/>
      <c r="BK725" s="75"/>
      <c r="BL725" s="75"/>
      <c r="BM725" s="75"/>
      <c r="BN725" s="75"/>
      <c r="BO725" s="75"/>
      <c r="BP725" s="75"/>
      <c r="BQ725" s="75"/>
      <c r="BR725" s="75"/>
      <c r="BS725" s="75"/>
    </row>
    <row r="726" ht="15.75" customHeight="1">
      <c r="A726" s="106"/>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c r="BJ726" s="75"/>
      <c r="BK726" s="75"/>
      <c r="BL726" s="75"/>
      <c r="BM726" s="75"/>
      <c r="BN726" s="75"/>
      <c r="BO726" s="75"/>
      <c r="BP726" s="75"/>
      <c r="BQ726" s="75"/>
      <c r="BR726" s="75"/>
      <c r="BS726" s="75"/>
    </row>
    <row r="727" ht="15.75" customHeight="1">
      <c r="A727" s="106"/>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c r="BJ727" s="75"/>
      <c r="BK727" s="75"/>
      <c r="BL727" s="75"/>
      <c r="BM727" s="75"/>
      <c r="BN727" s="75"/>
      <c r="BO727" s="75"/>
      <c r="BP727" s="75"/>
      <c r="BQ727" s="75"/>
      <c r="BR727" s="75"/>
      <c r="BS727" s="75"/>
    </row>
    <row r="728" ht="15.75" customHeight="1">
      <c r="A728" s="106"/>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75"/>
      <c r="BI728" s="75"/>
      <c r="BJ728" s="75"/>
      <c r="BK728" s="75"/>
      <c r="BL728" s="75"/>
      <c r="BM728" s="75"/>
      <c r="BN728" s="75"/>
      <c r="BO728" s="75"/>
      <c r="BP728" s="75"/>
      <c r="BQ728" s="75"/>
      <c r="BR728" s="75"/>
      <c r="BS728" s="75"/>
    </row>
    <row r="729" ht="15.75" customHeight="1">
      <c r="A729" s="106"/>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75"/>
      <c r="BI729" s="75"/>
      <c r="BJ729" s="75"/>
      <c r="BK729" s="75"/>
      <c r="BL729" s="75"/>
      <c r="BM729" s="75"/>
      <c r="BN729" s="75"/>
      <c r="BO729" s="75"/>
      <c r="BP729" s="75"/>
      <c r="BQ729" s="75"/>
      <c r="BR729" s="75"/>
      <c r="BS729" s="75"/>
    </row>
    <row r="730" ht="15.75" customHeight="1">
      <c r="A730" s="106"/>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c r="BJ730" s="75"/>
      <c r="BK730" s="75"/>
      <c r="BL730" s="75"/>
      <c r="BM730" s="75"/>
      <c r="BN730" s="75"/>
      <c r="BO730" s="75"/>
      <c r="BP730" s="75"/>
      <c r="BQ730" s="75"/>
      <c r="BR730" s="75"/>
      <c r="BS730" s="75"/>
    </row>
    <row r="731" ht="15.75" customHeight="1">
      <c r="A731" s="106"/>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75"/>
      <c r="BI731" s="75"/>
      <c r="BJ731" s="75"/>
      <c r="BK731" s="75"/>
      <c r="BL731" s="75"/>
      <c r="BM731" s="75"/>
      <c r="BN731" s="75"/>
      <c r="BO731" s="75"/>
      <c r="BP731" s="75"/>
      <c r="BQ731" s="75"/>
      <c r="BR731" s="75"/>
      <c r="BS731" s="75"/>
    </row>
    <row r="732" ht="15.75" customHeight="1">
      <c r="A732" s="106"/>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75"/>
      <c r="BI732" s="75"/>
      <c r="BJ732" s="75"/>
      <c r="BK732" s="75"/>
      <c r="BL732" s="75"/>
      <c r="BM732" s="75"/>
      <c r="BN732" s="75"/>
      <c r="BO732" s="75"/>
      <c r="BP732" s="75"/>
      <c r="BQ732" s="75"/>
      <c r="BR732" s="75"/>
      <c r="BS732" s="75"/>
    </row>
    <row r="733" ht="15.75" customHeight="1">
      <c r="A733" s="106"/>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75"/>
      <c r="BI733" s="75"/>
      <c r="BJ733" s="75"/>
      <c r="BK733" s="75"/>
      <c r="BL733" s="75"/>
      <c r="BM733" s="75"/>
      <c r="BN733" s="75"/>
      <c r="BO733" s="75"/>
      <c r="BP733" s="75"/>
      <c r="BQ733" s="75"/>
      <c r="BR733" s="75"/>
      <c r="BS733" s="75"/>
    </row>
    <row r="734" ht="15.75" customHeight="1">
      <c r="A734" s="106"/>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75"/>
      <c r="BI734" s="75"/>
      <c r="BJ734" s="75"/>
      <c r="BK734" s="75"/>
      <c r="BL734" s="75"/>
      <c r="BM734" s="75"/>
      <c r="BN734" s="75"/>
      <c r="BO734" s="75"/>
      <c r="BP734" s="75"/>
      <c r="BQ734" s="75"/>
      <c r="BR734" s="75"/>
      <c r="BS734" s="75"/>
    </row>
    <row r="735" ht="15.75" customHeight="1">
      <c r="A735" s="106"/>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c r="BJ735" s="75"/>
      <c r="BK735" s="75"/>
      <c r="BL735" s="75"/>
      <c r="BM735" s="75"/>
      <c r="BN735" s="75"/>
      <c r="BO735" s="75"/>
      <c r="BP735" s="75"/>
      <c r="BQ735" s="75"/>
      <c r="BR735" s="75"/>
      <c r="BS735" s="75"/>
    </row>
    <row r="736" ht="15.75" customHeight="1">
      <c r="A736" s="106"/>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c r="BJ736" s="75"/>
      <c r="BK736" s="75"/>
      <c r="BL736" s="75"/>
      <c r="BM736" s="75"/>
      <c r="BN736" s="75"/>
      <c r="BO736" s="75"/>
      <c r="BP736" s="75"/>
      <c r="BQ736" s="75"/>
      <c r="BR736" s="75"/>
      <c r="BS736" s="75"/>
    </row>
    <row r="737" ht="15.75" customHeight="1">
      <c r="A737" s="106"/>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c r="BJ737" s="75"/>
      <c r="BK737" s="75"/>
      <c r="BL737" s="75"/>
      <c r="BM737" s="75"/>
      <c r="BN737" s="75"/>
      <c r="BO737" s="75"/>
      <c r="BP737" s="75"/>
      <c r="BQ737" s="75"/>
      <c r="BR737" s="75"/>
      <c r="BS737" s="75"/>
    </row>
    <row r="738" ht="15.75" customHeight="1">
      <c r="A738" s="106"/>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c r="BJ738" s="75"/>
      <c r="BK738" s="75"/>
      <c r="BL738" s="75"/>
      <c r="BM738" s="75"/>
      <c r="BN738" s="75"/>
      <c r="BO738" s="75"/>
      <c r="BP738" s="75"/>
      <c r="BQ738" s="75"/>
      <c r="BR738" s="75"/>
      <c r="BS738" s="75"/>
    </row>
    <row r="739" ht="15.75" customHeight="1">
      <c r="A739" s="106"/>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c r="BJ739" s="75"/>
      <c r="BK739" s="75"/>
      <c r="BL739" s="75"/>
      <c r="BM739" s="75"/>
      <c r="BN739" s="75"/>
      <c r="BO739" s="75"/>
      <c r="BP739" s="75"/>
      <c r="BQ739" s="75"/>
      <c r="BR739" s="75"/>
      <c r="BS739" s="75"/>
    </row>
    <row r="740" ht="15.75" customHeight="1">
      <c r="A740" s="106"/>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75"/>
      <c r="BI740" s="75"/>
      <c r="BJ740" s="75"/>
      <c r="BK740" s="75"/>
      <c r="BL740" s="75"/>
      <c r="BM740" s="75"/>
      <c r="BN740" s="75"/>
      <c r="BO740" s="75"/>
      <c r="BP740" s="75"/>
      <c r="BQ740" s="75"/>
      <c r="BR740" s="75"/>
      <c r="BS740" s="75"/>
    </row>
    <row r="741" ht="15.75" customHeight="1">
      <c r="A741" s="106"/>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c r="BJ741" s="75"/>
      <c r="BK741" s="75"/>
      <c r="BL741" s="75"/>
      <c r="BM741" s="75"/>
      <c r="BN741" s="75"/>
      <c r="BO741" s="75"/>
      <c r="BP741" s="75"/>
      <c r="BQ741" s="75"/>
      <c r="BR741" s="75"/>
      <c r="BS741" s="75"/>
    </row>
    <row r="742" ht="15.75" customHeight="1">
      <c r="A742" s="106"/>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c r="BJ742" s="75"/>
      <c r="BK742" s="75"/>
      <c r="BL742" s="75"/>
      <c r="BM742" s="75"/>
      <c r="BN742" s="75"/>
      <c r="BO742" s="75"/>
      <c r="BP742" s="75"/>
      <c r="BQ742" s="75"/>
      <c r="BR742" s="75"/>
      <c r="BS742" s="75"/>
    </row>
    <row r="743" ht="15.75" customHeight="1">
      <c r="A743" s="106"/>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c r="BJ743" s="75"/>
      <c r="BK743" s="75"/>
      <c r="BL743" s="75"/>
      <c r="BM743" s="75"/>
      <c r="BN743" s="75"/>
      <c r="BO743" s="75"/>
      <c r="BP743" s="75"/>
      <c r="BQ743" s="75"/>
      <c r="BR743" s="75"/>
      <c r="BS743" s="75"/>
    </row>
    <row r="744" ht="15.75" customHeight="1">
      <c r="A744" s="106"/>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c r="BJ744" s="75"/>
      <c r="BK744" s="75"/>
      <c r="BL744" s="75"/>
      <c r="BM744" s="75"/>
      <c r="BN744" s="75"/>
      <c r="BO744" s="75"/>
      <c r="BP744" s="75"/>
      <c r="BQ744" s="75"/>
      <c r="BR744" s="75"/>
      <c r="BS744" s="75"/>
    </row>
    <row r="745" ht="15.75" customHeight="1">
      <c r="A745" s="106"/>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75"/>
      <c r="BI745" s="75"/>
      <c r="BJ745" s="75"/>
      <c r="BK745" s="75"/>
      <c r="BL745" s="75"/>
      <c r="BM745" s="75"/>
      <c r="BN745" s="75"/>
      <c r="BO745" s="75"/>
      <c r="BP745" s="75"/>
      <c r="BQ745" s="75"/>
      <c r="BR745" s="75"/>
      <c r="BS745" s="75"/>
    </row>
    <row r="746" ht="15.75" customHeight="1">
      <c r="A746" s="106"/>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75"/>
      <c r="BI746" s="75"/>
      <c r="BJ746" s="75"/>
      <c r="BK746" s="75"/>
      <c r="BL746" s="75"/>
      <c r="BM746" s="75"/>
      <c r="BN746" s="75"/>
      <c r="BO746" s="75"/>
      <c r="BP746" s="75"/>
      <c r="BQ746" s="75"/>
      <c r="BR746" s="75"/>
      <c r="BS746" s="75"/>
    </row>
    <row r="747" ht="15.75" customHeight="1">
      <c r="A747" s="106"/>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c r="BJ747" s="75"/>
      <c r="BK747" s="75"/>
      <c r="BL747" s="75"/>
      <c r="BM747" s="75"/>
      <c r="BN747" s="75"/>
      <c r="BO747" s="75"/>
      <c r="BP747" s="75"/>
      <c r="BQ747" s="75"/>
      <c r="BR747" s="75"/>
      <c r="BS747" s="75"/>
    </row>
    <row r="748" ht="15.75" customHeight="1">
      <c r="A748" s="106"/>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75"/>
      <c r="BI748" s="75"/>
      <c r="BJ748" s="75"/>
      <c r="BK748" s="75"/>
      <c r="BL748" s="75"/>
      <c r="BM748" s="75"/>
      <c r="BN748" s="75"/>
      <c r="BO748" s="75"/>
      <c r="BP748" s="75"/>
      <c r="BQ748" s="75"/>
      <c r="BR748" s="75"/>
      <c r="BS748" s="75"/>
    </row>
    <row r="749" ht="15.75" customHeight="1">
      <c r="A749" s="106"/>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c r="BJ749" s="75"/>
      <c r="BK749" s="75"/>
      <c r="BL749" s="75"/>
      <c r="BM749" s="75"/>
      <c r="BN749" s="75"/>
      <c r="BO749" s="75"/>
      <c r="BP749" s="75"/>
      <c r="BQ749" s="75"/>
      <c r="BR749" s="75"/>
      <c r="BS749" s="75"/>
    </row>
    <row r="750" ht="15.75" customHeight="1">
      <c r="A750" s="106"/>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75"/>
      <c r="BI750" s="75"/>
      <c r="BJ750" s="75"/>
      <c r="BK750" s="75"/>
      <c r="BL750" s="75"/>
      <c r="BM750" s="75"/>
      <c r="BN750" s="75"/>
      <c r="BO750" s="75"/>
      <c r="BP750" s="75"/>
      <c r="BQ750" s="75"/>
      <c r="BR750" s="75"/>
      <c r="BS750" s="75"/>
    </row>
    <row r="751" ht="15.75" customHeight="1">
      <c r="A751" s="106"/>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c r="BJ751" s="75"/>
      <c r="BK751" s="75"/>
      <c r="BL751" s="75"/>
      <c r="BM751" s="75"/>
      <c r="BN751" s="75"/>
      <c r="BO751" s="75"/>
      <c r="BP751" s="75"/>
      <c r="BQ751" s="75"/>
      <c r="BR751" s="75"/>
      <c r="BS751" s="75"/>
    </row>
    <row r="752" ht="15.75" customHeight="1">
      <c r="A752" s="106"/>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75"/>
      <c r="BI752" s="75"/>
      <c r="BJ752" s="75"/>
      <c r="BK752" s="75"/>
      <c r="BL752" s="75"/>
      <c r="BM752" s="75"/>
      <c r="BN752" s="75"/>
      <c r="BO752" s="75"/>
      <c r="BP752" s="75"/>
      <c r="BQ752" s="75"/>
      <c r="BR752" s="75"/>
      <c r="BS752" s="75"/>
    </row>
    <row r="753" ht="15.75" customHeight="1">
      <c r="A753" s="106"/>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c r="BJ753" s="75"/>
      <c r="BK753" s="75"/>
      <c r="BL753" s="75"/>
      <c r="BM753" s="75"/>
      <c r="BN753" s="75"/>
      <c r="BO753" s="75"/>
      <c r="BP753" s="75"/>
      <c r="BQ753" s="75"/>
      <c r="BR753" s="75"/>
      <c r="BS753" s="75"/>
    </row>
    <row r="754" ht="15.75" customHeight="1">
      <c r="A754" s="106"/>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75"/>
      <c r="BJ754" s="75"/>
      <c r="BK754" s="75"/>
      <c r="BL754" s="75"/>
      <c r="BM754" s="75"/>
      <c r="BN754" s="75"/>
      <c r="BO754" s="75"/>
      <c r="BP754" s="75"/>
      <c r="BQ754" s="75"/>
      <c r="BR754" s="75"/>
      <c r="BS754" s="75"/>
    </row>
    <row r="755" ht="15.75" customHeight="1">
      <c r="A755" s="106"/>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75"/>
      <c r="BI755" s="75"/>
      <c r="BJ755" s="75"/>
      <c r="BK755" s="75"/>
      <c r="BL755" s="75"/>
      <c r="BM755" s="75"/>
      <c r="BN755" s="75"/>
      <c r="BO755" s="75"/>
      <c r="BP755" s="75"/>
      <c r="BQ755" s="75"/>
      <c r="BR755" s="75"/>
      <c r="BS755" s="75"/>
    </row>
    <row r="756" ht="15.75" customHeight="1">
      <c r="A756" s="106"/>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75"/>
      <c r="BI756" s="75"/>
      <c r="BJ756" s="75"/>
      <c r="BK756" s="75"/>
      <c r="BL756" s="75"/>
      <c r="BM756" s="75"/>
      <c r="BN756" s="75"/>
      <c r="BO756" s="75"/>
      <c r="BP756" s="75"/>
      <c r="BQ756" s="75"/>
      <c r="BR756" s="75"/>
      <c r="BS756" s="75"/>
    </row>
    <row r="757" ht="15.75" customHeight="1">
      <c r="A757" s="106"/>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75"/>
      <c r="BI757" s="75"/>
      <c r="BJ757" s="75"/>
      <c r="BK757" s="75"/>
      <c r="BL757" s="75"/>
      <c r="BM757" s="75"/>
      <c r="BN757" s="75"/>
      <c r="BO757" s="75"/>
      <c r="BP757" s="75"/>
      <c r="BQ757" s="75"/>
      <c r="BR757" s="75"/>
      <c r="BS757" s="75"/>
    </row>
    <row r="758" ht="15.75" customHeight="1">
      <c r="A758" s="106"/>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75"/>
      <c r="BI758" s="75"/>
      <c r="BJ758" s="75"/>
      <c r="BK758" s="75"/>
      <c r="BL758" s="75"/>
      <c r="BM758" s="75"/>
      <c r="BN758" s="75"/>
      <c r="BO758" s="75"/>
      <c r="BP758" s="75"/>
      <c r="BQ758" s="75"/>
      <c r="BR758" s="75"/>
      <c r="BS758" s="75"/>
    </row>
    <row r="759" ht="15.75" customHeight="1">
      <c r="A759" s="106"/>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c r="BJ759" s="75"/>
      <c r="BK759" s="75"/>
      <c r="BL759" s="75"/>
      <c r="BM759" s="75"/>
      <c r="BN759" s="75"/>
      <c r="BO759" s="75"/>
      <c r="BP759" s="75"/>
      <c r="BQ759" s="75"/>
      <c r="BR759" s="75"/>
      <c r="BS759" s="75"/>
    </row>
    <row r="760" ht="15.75" customHeight="1">
      <c r="A760" s="106"/>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75"/>
      <c r="BI760" s="75"/>
      <c r="BJ760" s="75"/>
      <c r="BK760" s="75"/>
      <c r="BL760" s="75"/>
      <c r="BM760" s="75"/>
      <c r="BN760" s="75"/>
      <c r="BO760" s="75"/>
      <c r="BP760" s="75"/>
      <c r="BQ760" s="75"/>
      <c r="BR760" s="75"/>
      <c r="BS760" s="75"/>
    </row>
    <row r="761" ht="15.75" customHeight="1">
      <c r="A761" s="106"/>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75"/>
      <c r="BJ761" s="75"/>
      <c r="BK761" s="75"/>
      <c r="BL761" s="75"/>
      <c r="BM761" s="75"/>
      <c r="BN761" s="75"/>
      <c r="BO761" s="75"/>
      <c r="BP761" s="75"/>
      <c r="BQ761" s="75"/>
      <c r="BR761" s="75"/>
      <c r="BS761" s="75"/>
    </row>
    <row r="762" ht="15.75" customHeight="1">
      <c r="A762" s="106"/>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c r="BJ762" s="75"/>
      <c r="BK762" s="75"/>
      <c r="BL762" s="75"/>
      <c r="BM762" s="75"/>
      <c r="BN762" s="75"/>
      <c r="BO762" s="75"/>
      <c r="BP762" s="75"/>
      <c r="BQ762" s="75"/>
      <c r="BR762" s="75"/>
      <c r="BS762" s="75"/>
    </row>
    <row r="763" ht="15.75" customHeight="1">
      <c r="A763" s="106"/>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c r="BJ763" s="75"/>
      <c r="BK763" s="75"/>
      <c r="BL763" s="75"/>
      <c r="BM763" s="75"/>
      <c r="BN763" s="75"/>
      <c r="BO763" s="75"/>
      <c r="BP763" s="75"/>
      <c r="BQ763" s="75"/>
      <c r="BR763" s="75"/>
      <c r="BS763" s="75"/>
    </row>
    <row r="764" ht="15.75" customHeight="1">
      <c r="A764" s="106"/>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c r="BJ764" s="75"/>
      <c r="BK764" s="75"/>
      <c r="BL764" s="75"/>
      <c r="BM764" s="75"/>
      <c r="BN764" s="75"/>
      <c r="BO764" s="75"/>
      <c r="BP764" s="75"/>
      <c r="BQ764" s="75"/>
      <c r="BR764" s="75"/>
      <c r="BS764" s="75"/>
    </row>
    <row r="765" ht="15.75" customHeight="1">
      <c r="A765" s="106"/>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c r="BJ765" s="75"/>
      <c r="BK765" s="75"/>
      <c r="BL765" s="75"/>
      <c r="BM765" s="75"/>
      <c r="BN765" s="75"/>
      <c r="BO765" s="75"/>
      <c r="BP765" s="75"/>
      <c r="BQ765" s="75"/>
      <c r="BR765" s="75"/>
      <c r="BS765" s="75"/>
    </row>
    <row r="766" ht="15.75" customHeight="1">
      <c r="A766" s="106"/>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c r="BJ766" s="75"/>
      <c r="BK766" s="75"/>
      <c r="BL766" s="75"/>
      <c r="BM766" s="75"/>
      <c r="BN766" s="75"/>
      <c r="BO766" s="75"/>
      <c r="BP766" s="75"/>
      <c r="BQ766" s="75"/>
      <c r="BR766" s="75"/>
      <c r="BS766" s="75"/>
    </row>
    <row r="767" ht="15.75" customHeight="1">
      <c r="A767" s="106"/>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c r="BJ767" s="75"/>
      <c r="BK767" s="75"/>
      <c r="BL767" s="75"/>
      <c r="BM767" s="75"/>
      <c r="BN767" s="75"/>
      <c r="BO767" s="75"/>
      <c r="BP767" s="75"/>
      <c r="BQ767" s="75"/>
      <c r="BR767" s="75"/>
      <c r="BS767" s="75"/>
    </row>
    <row r="768" ht="15.75" customHeight="1">
      <c r="A768" s="106"/>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c r="BJ768" s="75"/>
      <c r="BK768" s="75"/>
      <c r="BL768" s="75"/>
      <c r="BM768" s="75"/>
      <c r="BN768" s="75"/>
      <c r="BO768" s="75"/>
      <c r="BP768" s="75"/>
      <c r="BQ768" s="75"/>
      <c r="BR768" s="75"/>
      <c r="BS768" s="75"/>
    </row>
    <row r="769" ht="15.75" customHeight="1">
      <c r="A769" s="106"/>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c r="BJ769" s="75"/>
      <c r="BK769" s="75"/>
      <c r="BL769" s="75"/>
      <c r="BM769" s="75"/>
      <c r="BN769" s="75"/>
      <c r="BO769" s="75"/>
      <c r="BP769" s="75"/>
      <c r="BQ769" s="75"/>
      <c r="BR769" s="75"/>
      <c r="BS769" s="75"/>
    </row>
    <row r="770" ht="15.75" customHeight="1">
      <c r="A770" s="106"/>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75"/>
      <c r="BI770" s="75"/>
      <c r="BJ770" s="75"/>
      <c r="BK770" s="75"/>
      <c r="BL770" s="75"/>
      <c r="BM770" s="75"/>
      <c r="BN770" s="75"/>
      <c r="BO770" s="75"/>
      <c r="BP770" s="75"/>
      <c r="BQ770" s="75"/>
      <c r="BR770" s="75"/>
      <c r="BS770" s="75"/>
    </row>
    <row r="771" ht="15.75" customHeight="1">
      <c r="A771" s="106"/>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75"/>
      <c r="BI771" s="75"/>
      <c r="BJ771" s="75"/>
      <c r="BK771" s="75"/>
      <c r="BL771" s="75"/>
      <c r="BM771" s="75"/>
      <c r="BN771" s="75"/>
      <c r="BO771" s="75"/>
      <c r="BP771" s="75"/>
      <c r="BQ771" s="75"/>
      <c r="BR771" s="75"/>
      <c r="BS771" s="75"/>
    </row>
    <row r="772" ht="15.75" customHeight="1">
      <c r="A772" s="106"/>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75"/>
      <c r="BI772" s="75"/>
      <c r="BJ772" s="75"/>
      <c r="BK772" s="75"/>
      <c r="BL772" s="75"/>
      <c r="BM772" s="75"/>
      <c r="BN772" s="75"/>
      <c r="BO772" s="75"/>
      <c r="BP772" s="75"/>
      <c r="BQ772" s="75"/>
      <c r="BR772" s="75"/>
      <c r="BS772" s="75"/>
    </row>
    <row r="773" ht="15.75" customHeight="1">
      <c r="A773" s="106"/>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75"/>
      <c r="BI773" s="75"/>
      <c r="BJ773" s="75"/>
      <c r="BK773" s="75"/>
      <c r="BL773" s="75"/>
      <c r="BM773" s="75"/>
      <c r="BN773" s="75"/>
      <c r="BO773" s="75"/>
      <c r="BP773" s="75"/>
      <c r="BQ773" s="75"/>
      <c r="BR773" s="75"/>
      <c r="BS773" s="75"/>
    </row>
    <row r="774" ht="15.75" customHeight="1">
      <c r="A774" s="106"/>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c r="BJ774" s="75"/>
      <c r="BK774" s="75"/>
      <c r="BL774" s="75"/>
      <c r="BM774" s="75"/>
      <c r="BN774" s="75"/>
      <c r="BO774" s="75"/>
      <c r="BP774" s="75"/>
      <c r="BQ774" s="75"/>
      <c r="BR774" s="75"/>
      <c r="BS774" s="75"/>
    </row>
    <row r="775" ht="15.75" customHeight="1">
      <c r="A775" s="106"/>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75"/>
      <c r="BI775" s="75"/>
      <c r="BJ775" s="75"/>
      <c r="BK775" s="75"/>
      <c r="BL775" s="75"/>
      <c r="BM775" s="75"/>
      <c r="BN775" s="75"/>
      <c r="BO775" s="75"/>
      <c r="BP775" s="75"/>
      <c r="BQ775" s="75"/>
      <c r="BR775" s="75"/>
      <c r="BS775" s="75"/>
    </row>
    <row r="776" ht="15.75" customHeight="1">
      <c r="A776" s="106"/>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75"/>
      <c r="BI776" s="75"/>
      <c r="BJ776" s="75"/>
      <c r="BK776" s="75"/>
      <c r="BL776" s="75"/>
      <c r="BM776" s="75"/>
      <c r="BN776" s="75"/>
      <c r="BO776" s="75"/>
      <c r="BP776" s="75"/>
      <c r="BQ776" s="75"/>
      <c r="BR776" s="75"/>
      <c r="BS776" s="75"/>
    </row>
    <row r="777" ht="15.75" customHeight="1">
      <c r="A777" s="106"/>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75"/>
      <c r="BI777" s="75"/>
      <c r="BJ777" s="75"/>
      <c r="BK777" s="75"/>
      <c r="BL777" s="75"/>
      <c r="BM777" s="75"/>
      <c r="BN777" s="75"/>
      <c r="BO777" s="75"/>
      <c r="BP777" s="75"/>
      <c r="BQ777" s="75"/>
      <c r="BR777" s="75"/>
      <c r="BS777" s="75"/>
    </row>
    <row r="778" ht="15.75" customHeight="1">
      <c r="A778" s="106"/>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75"/>
      <c r="BI778" s="75"/>
      <c r="BJ778" s="75"/>
      <c r="BK778" s="75"/>
      <c r="BL778" s="75"/>
      <c r="BM778" s="75"/>
      <c r="BN778" s="75"/>
      <c r="BO778" s="75"/>
      <c r="BP778" s="75"/>
      <c r="BQ778" s="75"/>
      <c r="BR778" s="75"/>
      <c r="BS778" s="75"/>
    </row>
    <row r="779" ht="15.75" customHeight="1">
      <c r="A779" s="106"/>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75"/>
      <c r="BI779" s="75"/>
      <c r="BJ779" s="75"/>
      <c r="BK779" s="75"/>
      <c r="BL779" s="75"/>
      <c r="BM779" s="75"/>
      <c r="BN779" s="75"/>
      <c r="BO779" s="75"/>
      <c r="BP779" s="75"/>
      <c r="BQ779" s="75"/>
      <c r="BR779" s="75"/>
      <c r="BS779" s="75"/>
    </row>
    <row r="780" ht="15.75" customHeight="1">
      <c r="A780" s="106"/>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c r="BJ780" s="75"/>
      <c r="BK780" s="75"/>
      <c r="BL780" s="75"/>
      <c r="BM780" s="75"/>
      <c r="BN780" s="75"/>
      <c r="BO780" s="75"/>
      <c r="BP780" s="75"/>
      <c r="BQ780" s="75"/>
      <c r="BR780" s="75"/>
      <c r="BS780" s="75"/>
    </row>
    <row r="781" ht="15.75" customHeight="1">
      <c r="A781" s="106"/>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75"/>
      <c r="BI781" s="75"/>
      <c r="BJ781" s="75"/>
      <c r="BK781" s="75"/>
      <c r="BL781" s="75"/>
      <c r="BM781" s="75"/>
      <c r="BN781" s="75"/>
      <c r="BO781" s="75"/>
      <c r="BP781" s="75"/>
      <c r="BQ781" s="75"/>
      <c r="BR781" s="75"/>
      <c r="BS781" s="75"/>
    </row>
    <row r="782" ht="15.75" customHeight="1">
      <c r="A782" s="106"/>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c r="BJ782" s="75"/>
      <c r="BK782" s="75"/>
      <c r="BL782" s="75"/>
      <c r="BM782" s="75"/>
      <c r="BN782" s="75"/>
      <c r="BO782" s="75"/>
      <c r="BP782" s="75"/>
      <c r="BQ782" s="75"/>
      <c r="BR782" s="75"/>
      <c r="BS782" s="75"/>
    </row>
    <row r="783" ht="15.75" customHeight="1">
      <c r="A783" s="106"/>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75"/>
      <c r="BI783" s="75"/>
      <c r="BJ783" s="75"/>
      <c r="BK783" s="75"/>
      <c r="BL783" s="75"/>
      <c r="BM783" s="75"/>
      <c r="BN783" s="75"/>
      <c r="BO783" s="75"/>
      <c r="BP783" s="75"/>
      <c r="BQ783" s="75"/>
      <c r="BR783" s="75"/>
      <c r="BS783" s="75"/>
    </row>
    <row r="784" ht="15.75" customHeight="1">
      <c r="A784" s="106"/>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75"/>
      <c r="BI784" s="75"/>
      <c r="BJ784" s="75"/>
      <c r="BK784" s="75"/>
      <c r="BL784" s="75"/>
      <c r="BM784" s="75"/>
      <c r="BN784" s="75"/>
      <c r="BO784" s="75"/>
      <c r="BP784" s="75"/>
      <c r="BQ784" s="75"/>
      <c r="BR784" s="75"/>
      <c r="BS784" s="75"/>
    </row>
    <row r="785" ht="15.75" customHeight="1">
      <c r="A785" s="106"/>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75"/>
      <c r="BI785" s="75"/>
      <c r="BJ785" s="75"/>
      <c r="BK785" s="75"/>
      <c r="BL785" s="75"/>
      <c r="BM785" s="75"/>
      <c r="BN785" s="75"/>
      <c r="BO785" s="75"/>
      <c r="BP785" s="75"/>
      <c r="BQ785" s="75"/>
      <c r="BR785" s="75"/>
      <c r="BS785" s="75"/>
    </row>
    <row r="786" ht="15.75" customHeight="1">
      <c r="A786" s="106"/>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75"/>
      <c r="BI786" s="75"/>
      <c r="BJ786" s="75"/>
      <c r="BK786" s="75"/>
      <c r="BL786" s="75"/>
      <c r="BM786" s="75"/>
      <c r="BN786" s="75"/>
      <c r="BO786" s="75"/>
      <c r="BP786" s="75"/>
      <c r="BQ786" s="75"/>
      <c r="BR786" s="75"/>
      <c r="BS786" s="75"/>
    </row>
    <row r="787" ht="15.75" customHeight="1">
      <c r="A787" s="106"/>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75"/>
      <c r="BI787" s="75"/>
      <c r="BJ787" s="75"/>
      <c r="BK787" s="75"/>
      <c r="BL787" s="75"/>
      <c r="BM787" s="75"/>
      <c r="BN787" s="75"/>
      <c r="BO787" s="75"/>
      <c r="BP787" s="75"/>
      <c r="BQ787" s="75"/>
      <c r="BR787" s="75"/>
      <c r="BS787" s="75"/>
    </row>
    <row r="788" ht="15.75" customHeight="1">
      <c r="A788" s="106"/>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75"/>
      <c r="BI788" s="75"/>
      <c r="BJ788" s="75"/>
      <c r="BK788" s="75"/>
      <c r="BL788" s="75"/>
      <c r="BM788" s="75"/>
      <c r="BN788" s="75"/>
      <c r="BO788" s="75"/>
      <c r="BP788" s="75"/>
      <c r="BQ788" s="75"/>
      <c r="BR788" s="75"/>
      <c r="BS788" s="75"/>
    </row>
    <row r="789" ht="15.75" customHeight="1">
      <c r="A789" s="106"/>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c r="BJ789" s="75"/>
      <c r="BK789" s="75"/>
      <c r="BL789" s="75"/>
      <c r="BM789" s="75"/>
      <c r="BN789" s="75"/>
      <c r="BO789" s="75"/>
      <c r="BP789" s="75"/>
      <c r="BQ789" s="75"/>
      <c r="BR789" s="75"/>
      <c r="BS789" s="75"/>
    </row>
    <row r="790" ht="15.75" customHeight="1">
      <c r="A790" s="106"/>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75"/>
      <c r="BI790" s="75"/>
      <c r="BJ790" s="75"/>
      <c r="BK790" s="75"/>
      <c r="BL790" s="75"/>
      <c r="BM790" s="75"/>
      <c r="BN790" s="75"/>
      <c r="BO790" s="75"/>
      <c r="BP790" s="75"/>
      <c r="BQ790" s="75"/>
      <c r="BR790" s="75"/>
      <c r="BS790" s="75"/>
    </row>
    <row r="791" ht="15.75" customHeight="1">
      <c r="A791" s="106"/>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75"/>
      <c r="BI791" s="75"/>
      <c r="BJ791" s="75"/>
      <c r="BK791" s="75"/>
      <c r="BL791" s="75"/>
      <c r="BM791" s="75"/>
      <c r="BN791" s="75"/>
      <c r="BO791" s="75"/>
      <c r="BP791" s="75"/>
      <c r="BQ791" s="75"/>
      <c r="BR791" s="75"/>
      <c r="BS791" s="75"/>
    </row>
    <row r="792" ht="15.75" customHeight="1">
      <c r="A792" s="106"/>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c r="BJ792" s="75"/>
      <c r="BK792" s="75"/>
      <c r="BL792" s="75"/>
      <c r="BM792" s="75"/>
      <c r="BN792" s="75"/>
      <c r="BO792" s="75"/>
      <c r="BP792" s="75"/>
      <c r="BQ792" s="75"/>
      <c r="BR792" s="75"/>
      <c r="BS792" s="75"/>
    </row>
    <row r="793" ht="15.75" customHeight="1">
      <c r="A793" s="106"/>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75"/>
      <c r="BI793" s="75"/>
      <c r="BJ793" s="75"/>
      <c r="BK793" s="75"/>
      <c r="BL793" s="75"/>
      <c r="BM793" s="75"/>
      <c r="BN793" s="75"/>
      <c r="BO793" s="75"/>
      <c r="BP793" s="75"/>
      <c r="BQ793" s="75"/>
      <c r="BR793" s="75"/>
      <c r="BS793" s="75"/>
    </row>
    <row r="794" ht="15.75" customHeight="1">
      <c r="A794" s="106"/>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75"/>
      <c r="BI794" s="75"/>
      <c r="BJ794" s="75"/>
      <c r="BK794" s="75"/>
      <c r="BL794" s="75"/>
      <c r="BM794" s="75"/>
      <c r="BN794" s="75"/>
      <c r="BO794" s="75"/>
      <c r="BP794" s="75"/>
      <c r="BQ794" s="75"/>
      <c r="BR794" s="75"/>
      <c r="BS794" s="75"/>
    </row>
    <row r="795" ht="15.75" customHeight="1">
      <c r="A795" s="106"/>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75"/>
      <c r="BI795" s="75"/>
      <c r="BJ795" s="75"/>
      <c r="BK795" s="75"/>
      <c r="BL795" s="75"/>
      <c r="BM795" s="75"/>
      <c r="BN795" s="75"/>
      <c r="BO795" s="75"/>
      <c r="BP795" s="75"/>
      <c r="BQ795" s="75"/>
      <c r="BR795" s="75"/>
      <c r="BS795" s="75"/>
    </row>
    <row r="796" ht="15.75" customHeight="1">
      <c r="A796" s="106"/>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75"/>
      <c r="BI796" s="75"/>
      <c r="BJ796" s="75"/>
      <c r="BK796" s="75"/>
      <c r="BL796" s="75"/>
      <c r="BM796" s="75"/>
      <c r="BN796" s="75"/>
      <c r="BO796" s="75"/>
      <c r="BP796" s="75"/>
      <c r="BQ796" s="75"/>
      <c r="BR796" s="75"/>
      <c r="BS796" s="75"/>
    </row>
    <row r="797" ht="15.75" customHeight="1">
      <c r="A797" s="106"/>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75"/>
      <c r="BI797" s="75"/>
      <c r="BJ797" s="75"/>
      <c r="BK797" s="75"/>
      <c r="BL797" s="75"/>
      <c r="BM797" s="75"/>
      <c r="BN797" s="75"/>
      <c r="BO797" s="75"/>
      <c r="BP797" s="75"/>
      <c r="BQ797" s="75"/>
      <c r="BR797" s="75"/>
      <c r="BS797" s="75"/>
    </row>
    <row r="798" ht="15.75" customHeight="1">
      <c r="A798" s="106"/>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75"/>
      <c r="BI798" s="75"/>
      <c r="BJ798" s="75"/>
      <c r="BK798" s="75"/>
      <c r="BL798" s="75"/>
      <c r="BM798" s="75"/>
      <c r="BN798" s="75"/>
      <c r="BO798" s="75"/>
      <c r="BP798" s="75"/>
      <c r="BQ798" s="75"/>
      <c r="BR798" s="75"/>
      <c r="BS798" s="75"/>
    </row>
    <row r="799" ht="15.75" customHeight="1">
      <c r="A799" s="106"/>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75"/>
      <c r="BI799" s="75"/>
      <c r="BJ799" s="75"/>
      <c r="BK799" s="75"/>
      <c r="BL799" s="75"/>
      <c r="BM799" s="75"/>
      <c r="BN799" s="75"/>
      <c r="BO799" s="75"/>
      <c r="BP799" s="75"/>
      <c r="BQ799" s="75"/>
      <c r="BR799" s="75"/>
      <c r="BS799" s="75"/>
    </row>
    <row r="800" ht="15.75" customHeight="1">
      <c r="A800" s="106"/>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75"/>
      <c r="BI800" s="75"/>
      <c r="BJ800" s="75"/>
      <c r="BK800" s="75"/>
      <c r="BL800" s="75"/>
      <c r="BM800" s="75"/>
      <c r="BN800" s="75"/>
      <c r="BO800" s="75"/>
      <c r="BP800" s="75"/>
      <c r="BQ800" s="75"/>
      <c r="BR800" s="75"/>
      <c r="BS800" s="75"/>
    </row>
    <row r="801" ht="15.75" customHeight="1">
      <c r="A801" s="106"/>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c r="BJ801" s="75"/>
      <c r="BK801" s="75"/>
      <c r="BL801" s="75"/>
      <c r="BM801" s="75"/>
      <c r="BN801" s="75"/>
      <c r="BO801" s="75"/>
      <c r="BP801" s="75"/>
      <c r="BQ801" s="75"/>
      <c r="BR801" s="75"/>
      <c r="BS801" s="75"/>
    </row>
    <row r="802" ht="15.75" customHeight="1">
      <c r="A802" s="106"/>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c r="BJ802" s="75"/>
      <c r="BK802" s="75"/>
      <c r="BL802" s="75"/>
      <c r="BM802" s="75"/>
      <c r="BN802" s="75"/>
      <c r="BO802" s="75"/>
      <c r="BP802" s="75"/>
      <c r="BQ802" s="75"/>
      <c r="BR802" s="75"/>
      <c r="BS802" s="75"/>
    </row>
    <row r="803" ht="15.75" customHeight="1">
      <c r="A803" s="106"/>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c r="BJ803" s="75"/>
      <c r="BK803" s="75"/>
      <c r="BL803" s="75"/>
      <c r="BM803" s="75"/>
      <c r="BN803" s="75"/>
      <c r="BO803" s="75"/>
      <c r="BP803" s="75"/>
      <c r="BQ803" s="75"/>
      <c r="BR803" s="75"/>
      <c r="BS803" s="75"/>
    </row>
    <row r="804" ht="15.75" customHeight="1">
      <c r="A804" s="106"/>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c r="BJ804" s="75"/>
      <c r="BK804" s="75"/>
      <c r="BL804" s="75"/>
      <c r="BM804" s="75"/>
      <c r="BN804" s="75"/>
      <c r="BO804" s="75"/>
      <c r="BP804" s="75"/>
      <c r="BQ804" s="75"/>
      <c r="BR804" s="75"/>
      <c r="BS804" s="75"/>
    </row>
    <row r="805" ht="15.75" customHeight="1">
      <c r="A805" s="106"/>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c r="BJ805" s="75"/>
      <c r="BK805" s="75"/>
      <c r="BL805" s="75"/>
      <c r="BM805" s="75"/>
      <c r="BN805" s="75"/>
      <c r="BO805" s="75"/>
      <c r="BP805" s="75"/>
      <c r="BQ805" s="75"/>
      <c r="BR805" s="75"/>
      <c r="BS805" s="75"/>
    </row>
    <row r="806" ht="15.75" customHeight="1">
      <c r="A806" s="106"/>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c r="BJ806" s="75"/>
      <c r="BK806" s="75"/>
      <c r="BL806" s="75"/>
      <c r="BM806" s="75"/>
      <c r="BN806" s="75"/>
      <c r="BO806" s="75"/>
      <c r="BP806" s="75"/>
      <c r="BQ806" s="75"/>
      <c r="BR806" s="75"/>
      <c r="BS806" s="75"/>
    </row>
    <row r="807" ht="15.75" customHeight="1">
      <c r="A807" s="106"/>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c r="BJ807" s="75"/>
      <c r="BK807" s="75"/>
      <c r="BL807" s="75"/>
      <c r="BM807" s="75"/>
      <c r="BN807" s="75"/>
      <c r="BO807" s="75"/>
      <c r="BP807" s="75"/>
      <c r="BQ807" s="75"/>
      <c r="BR807" s="75"/>
      <c r="BS807" s="75"/>
    </row>
    <row r="808" ht="15.75" customHeight="1">
      <c r="A808" s="106"/>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75"/>
      <c r="BI808" s="75"/>
      <c r="BJ808" s="75"/>
      <c r="BK808" s="75"/>
      <c r="BL808" s="75"/>
      <c r="BM808" s="75"/>
      <c r="BN808" s="75"/>
      <c r="BO808" s="75"/>
      <c r="BP808" s="75"/>
      <c r="BQ808" s="75"/>
      <c r="BR808" s="75"/>
      <c r="BS808" s="75"/>
    </row>
    <row r="809" ht="15.75" customHeight="1">
      <c r="A809" s="106"/>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75"/>
      <c r="BI809" s="75"/>
      <c r="BJ809" s="75"/>
      <c r="BK809" s="75"/>
      <c r="BL809" s="75"/>
      <c r="BM809" s="75"/>
      <c r="BN809" s="75"/>
      <c r="BO809" s="75"/>
      <c r="BP809" s="75"/>
      <c r="BQ809" s="75"/>
      <c r="BR809" s="75"/>
      <c r="BS809" s="75"/>
    </row>
    <row r="810" ht="15.75" customHeight="1">
      <c r="A810" s="106"/>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c r="BJ810" s="75"/>
      <c r="BK810" s="75"/>
      <c r="BL810" s="75"/>
      <c r="BM810" s="75"/>
      <c r="BN810" s="75"/>
      <c r="BO810" s="75"/>
      <c r="BP810" s="75"/>
      <c r="BQ810" s="75"/>
      <c r="BR810" s="75"/>
      <c r="BS810" s="75"/>
    </row>
    <row r="811" ht="15.75" customHeight="1">
      <c r="A811" s="106"/>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c r="BJ811" s="75"/>
      <c r="BK811" s="75"/>
      <c r="BL811" s="75"/>
      <c r="BM811" s="75"/>
      <c r="BN811" s="75"/>
      <c r="BO811" s="75"/>
      <c r="BP811" s="75"/>
      <c r="BQ811" s="75"/>
      <c r="BR811" s="75"/>
      <c r="BS811" s="75"/>
    </row>
    <row r="812" ht="15.75" customHeight="1">
      <c r="A812" s="106"/>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c r="BJ812" s="75"/>
      <c r="BK812" s="75"/>
      <c r="BL812" s="75"/>
      <c r="BM812" s="75"/>
      <c r="BN812" s="75"/>
      <c r="BO812" s="75"/>
      <c r="BP812" s="75"/>
      <c r="BQ812" s="75"/>
      <c r="BR812" s="75"/>
      <c r="BS812" s="75"/>
    </row>
    <row r="813" ht="15.75" customHeight="1">
      <c r="A813" s="106"/>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75"/>
      <c r="BI813" s="75"/>
      <c r="BJ813" s="75"/>
      <c r="BK813" s="75"/>
      <c r="BL813" s="75"/>
      <c r="BM813" s="75"/>
      <c r="BN813" s="75"/>
      <c r="BO813" s="75"/>
      <c r="BP813" s="75"/>
      <c r="BQ813" s="75"/>
      <c r="BR813" s="75"/>
      <c r="BS813" s="75"/>
    </row>
    <row r="814" ht="15.75" customHeight="1">
      <c r="A814" s="106"/>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75"/>
      <c r="BI814" s="75"/>
      <c r="BJ814" s="75"/>
      <c r="BK814" s="75"/>
      <c r="BL814" s="75"/>
      <c r="BM814" s="75"/>
      <c r="BN814" s="75"/>
      <c r="BO814" s="75"/>
      <c r="BP814" s="75"/>
      <c r="BQ814" s="75"/>
      <c r="BR814" s="75"/>
      <c r="BS814" s="75"/>
    </row>
    <row r="815" ht="15.75" customHeight="1">
      <c r="A815" s="106"/>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c r="BJ815" s="75"/>
      <c r="BK815" s="75"/>
      <c r="BL815" s="75"/>
      <c r="BM815" s="75"/>
      <c r="BN815" s="75"/>
      <c r="BO815" s="75"/>
      <c r="BP815" s="75"/>
      <c r="BQ815" s="75"/>
      <c r="BR815" s="75"/>
      <c r="BS815" s="75"/>
    </row>
    <row r="816" ht="15.75" customHeight="1">
      <c r="A816" s="106"/>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75"/>
      <c r="BI816" s="75"/>
      <c r="BJ816" s="75"/>
      <c r="BK816" s="75"/>
      <c r="BL816" s="75"/>
      <c r="BM816" s="75"/>
      <c r="BN816" s="75"/>
      <c r="BO816" s="75"/>
      <c r="BP816" s="75"/>
      <c r="BQ816" s="75"/>
      <c r="BR816" s="75"/>
      <c r="BS816" s="75"/>
    </row>
    <row r="817" ht="15.75" customHeight="1">
      <c r="A817" s="106"/>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c r="BJ817" s="75"/>
      <c r="BK817" s="75"/>
      <c r="BL817" s="75"/>
      <c r="BM817" s="75"/>
      <c r="BN817" s="75"/>
      <c r="BO817" s="75"/>
      <c r="BP817" s="75"/>
      <c r="BQ817" s="75"/>
      <c r="BR817" s="75"/>
      <c r="BS817" s="75"/>
    </row>
    <row r="818" ht="15.75" customHeight="1">
      <c r="A818" s="106"/>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75"/>
      <c r="BI818" s="75"/>
      <c r="BJ818" s="75"/>
      <c r="BK818" s="75"/>
      <c r="BL818" s="75"/>
      <c r="BM818" s="75"/>
      <c r="BN818" s="75"/>
      <c r="BO818" s="75"/>
      <c r="BP818" s="75"/>
      <c r="BQ818" s="75"/>
      <c r="BR818" s="75"/>
      <c r="BS818" s="75"/>
    </row>
    <row r="819" ht="15.75" customHeight="1">
      <c r="A819" s="106"/>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c r="BJ819" s="75"/>
      <c r="BK819" s="75"/>
      <c r="BL819" s="75"/>
      <c r="BM819" s="75"/>
      <c r="BN819" s="75"/>
      <c r="BO819" s="75"/>
      <c r="BP819" s="75"/>
      <c r="BQ819" s="75"/>
      <c r="BR819" s="75"/>
      <c r="BS819" s="75"/>
    </row>
    <row r="820" ht="15.75" customHeight="1">
      <c r="A820" s="106"/>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c r="BJ820" s="75"/>
      <c r="BK820" s="75"/>
      <c r="BL820" s="75"/>
      <c r="BM820" s="75"/>
      <c r="BN820" s="75"/>
      <c r="BO820" s="75"/>
      <c r="BP820" s="75"/>
      <c r="BQ820" s="75"/>
      <c r="BR820" s="75"/>
      <c r="BS820" s="75"/>
    </row>
    <row r="821" ht="15.75" customHeight="1">
      <c r="A821" s="106"/>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c r="BJ821" s="75"/>
      <c r="BK821" s="75"/>
      <c r="BL821" s="75"/>
      <c r="BM821" s="75"/>
      <c r="BN821" s="75"/>
      <c r="BO821" s="75"/>
      <c r="BP821" s="75"/>
      <c r="BQ821" s="75"/>
      <c r="BR821" s="75"/>
      <c r="BS821" s="75"/>
    </row>
    <row r="822" ht="15.75" customHeight="1">
      <c r="A822" s="106"/>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75"/>
      <c r="BI822" s="75"/>
      <c r="BJ822" s="75"/>
      <c r="BK822" s="75"/>
      <c r="BL822" s="75"/>
      <c r="BM822" s="75"/>
      <c r="BN822" s="75"/>
      <c r="BO822" s="75"/>
      <c r="BP822" s="75"/>
      <c r="BQ822" s="75"/>
      <c r="BR822" s="75"/>
      <c r="BS822" s="75"/>
    </row>
    <row r="823" ht="15.75" customHeight="1">
      <c r="A823" s="106"/>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c r="BJ823" s="75"/>
      <c r="BK823" s="75"/>
      <c r="BL823" s="75"/>
      <c r="BM823" s="75"/>
      <c r="BN823" s="75"/>
      <c r="BO823" s="75"/>
      <c r="BP823" s="75"/>
      <c r="BQ823" s="75"/>
      <c r="BR823" s="75"/>
      <c r="BS823" s="75"/>
    </row>
    <row r="824" ht="15.75" customHeight="1">
      <c r="A824" s="106"/>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c r="BJ824" s="75"/>
      <c r="BK824" s="75"/>
      <c r="BL824" s="75"/>
      <c r="BM824" s="75"/>
      <c r="BN824" s="75"/>
      <c r="BO824" s="75"/>
      <c r="BP824" s="75"/>
      <c r="BQ824" s="75"/>
      <c r="BR824" s="75"/>
      <c r="BS824" s="75"/>
    </row>
    <row r="825" ht="15.75" customHeight="1">
      <c r="A825" s="106"/>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75"/>
      <c r="BI825" s="75"/>
      <c r="BJ825" s="75"/>
      <c r="BK825" s="75"/>
      <c r="BL825" s="75"/>
      <c r="BM825" s="75"/>
      <c r="BN825" s="75"/>
      <c r="BO825" s="75"/>
      <c r="BP825" s="75"/>
      <c r="BQ825" s="75"/>
      <c r="BR825" s="75"/>
      <c r="BS825" s="75"/>
    </row>
    <row r="826" ht="15.75" customHeight="1">
      <c r="A826" s="106"/>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75"/>
      <c r="BI826" s="75"/>
      <c r="BJ826" s="75"/>
      <c r="BK826" s="75"/>
      <c r="BL826" s="75"/>
      <c r="BM826" s="75"/>
      <c r="BN826" s="75"/>
      <c r="BO826" s="75"/>
      <c r="BP826" s="75"/>
      <c r="BQ826" s="75"/>
      <c r="BR826" s="75"/>
      <c r="BS826" s="75"/>
    </row>
    <row r="827" ht="15.75" customHeight="1">
      <c r="A827" s="106"/>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75"/>
      <c r="BI827" s="75"/>
      <c r="BJ827" s="75"/>
      <c r="BK827" s="75"/>
      <c r="BL827" s="75"/>
      <c r="BM827" s="75"/>
      <c r="BN827" s="75"/>
      <c r="BO827" s="75"/>
      <c r="BP827" s="75"/>
      <c r="BQ827" s="75"/>
      <c r="BR827" s="75"/>
      <c r="BS827" s="75"/>
    </row>
    <row r="828" ht="15.75" customHeight="1">
      <c r="A828" s="106"/>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75"/>
      <c r="BI828" s="75"/>
      <c r="BJ828" s="75"/>
      <c r="BK828" s="75"/>
      <c r="BL828" s="75"/>
      <c r="BM828" s="75"/>
      <c r="BN828" s="75"/>
      <c r="BO828" s="75"/>
      <c r="BP828" s="75"/>
      <c r="BQ828" s="75"/>
      <c r="BR828" s="75"/>
      <c r="BS828" s="75"/>
    </row>
    <row r="829" ht="15.75" customHeight="1">
      <c r="A829" s="106"/>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75"/>
      <c r="BI829" s="75"/>
      <c r="BJ829" s="75"/>
      <c r="BK829" s="75"/>
      <c r="BL829" s="75"/>
      <c r="BM829" s="75"/>
      <c r="BN829" s="75"/>
      <c r="BO829" s="75"/>
      <c r="BP829" s="75"/>
      <c r="BQ829" s="75"/>
      <c r="BR829" s="75"/>
      <c r="BS829" s="75"/>
    </row>
    <row r="830" ht="15.75" customHeight="1">
      <c r="A830" s="106"/>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75"/>
      <c r="BI830" s="75"/>
      <c r="BJ830" s="75"/>
      <c r="BK830" s="75"/>
      <c r="BL830" s="75"/>
      <c r="BM830" s="75"/>
      <c r="BN830" s="75"/>
      <c r="BO830" s="75"/>
      <c r="BP830" s="75"/>
      <c r="BQ830" s="75"/>
      <c r="BR830" s="75"/>
      <c r="BS830" s="75"/>
    </row>
    <row r="831" ht="15.75" customHeight="1">
      <c r="A831" s="106"/>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75"/>
      <c r="BI831" s="75"/>
      <c r="BJ831" s="75"/>
      <c r="BK831" s="75"/>
      <c r="BL831" s="75"/>
      <c r="BM831" s="75"/>
      <c r="BN831" s="75"/>
      <c r="BO831" s="75"/>
      <c r="BP831" s="75"/>
      <c r="BQ831" s="75"/>
      <c r="BR831" s="75"/>
      <c r="BS831" s="75"/>
    </row>
    <row r="832" ht="15.75" customHeight="1">
      <c r="A832" s="106"/>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75"/>
      <c r="BI832" s="75"/>
      <c r="BJ832" s="75"/>
      <c r="BK832" s="75"/>
      <c r="BL832" s="75"/>
      <c r="BM832" s="75"/>
      <c r="BN832" s="75"/>
      <c r="BO832" s="75"/>
      <c r="BP832" s="75"/>
      <c r="BQ832" s="75"/>
      <c r="BR832" s="75"/>
      <c r="BS832" s="75"/>
    </row>
    <row r="833" ht="15.75" customHeight="1">
      <c r="A833" s="106"/>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75"/>
      <c r="BI833" s="75"/>
      <c r="BJ833" s="75"/>
      <c r="BK833" s="75"/>
      <c r="BL833" s="75"/>
      <c r="BM833" s="75"/>
      <c r="BN833" s="75"/>
      <c r="BO833" s="75"/>
      <c r="BP833" s="75"/>
      <c r="BQ833" s="75"/>
      <c r="BR833" s="75"/>
      <c r="BS833" s="75"/>
    </row>
    <row r="834" ht="15.75" customHeight="1">
      <c r="A834" s="106"/>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75"/>
      <c r="BI834" s="75"/>
      <c r="BJ834" s="75"/>
      <c r="BK834" s="75"/>
      <c r="BL834" s="75"/>
      <c r="BM834" s="75"/>
      <c r="BN834" s="75"/>
      <c r="BO834" s="75"/>
      <c r="BP834" s="75"/>
      <c r="BQ834" s="75"/>
      <c r="BR834" s="75"/>
      <c r="BS834" s="75"/>
    </row>
    <row r="835" ht="15.75" customHeight="1">
      <c r="A835" s="106"/>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75"/>
      <c r="BI835" s="75"/>
      <c r="BJ835" s="75"/>
      <c r="BK835" s="75"/>
      <c r="BL835" s="75"/>
      <c r="BM835" s="75"/>
      <c r="BN835" s="75"/>
      <c r="BO835" s="75"/>
      <c r="BP835" s="75"/>
      <c r="BQ835" s="75"/>
      <c r="BR835" s="75"/>
      <c r="BS835" s="75"/>
    </row>
    <row r="836" ht="15.75" customHeight="1">
      <c r="A836" s="106"/>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75"/>
      <c r="BI836" s="75"/>
      <c r="BJ836" s="75"/>
      <c r="BK836" s="75"/>
      <c r="BL836" s="75"/>
      <c r="BM836" s="75"/>
      <c r="BN836" s="75"/>
      <c r="BO836" s="75"/>
      <c r="BP836" s="75"/>
      <c r="BQ836" s="75"/>
      <c r="BR836" s="75"/>
      <c r="BS836" s="75"/>
    </row>
    <row r="837" ht="15.75" customHeight="1">
      <c r="A837" s="106"/>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75"/>
      <c r="BI837" s="75"/>
      <c r="BJ837" s="75"/>
      <c r="BK837" s="75"/>
      <c r="BL837" s="75"/>
      <c r="BM837" s="75"/>
      <c r="BN837" s="75"/>
      <c r="BO837" s="75"/>
      <c r="BP837" s="75"/>
      <c r="BQ837" s="75"/>
      <c r="BR837" s="75"/>
      <c r="BS837" s="75"/>
    </row>
    <row r="838" ht="15.75" customHeight="1">
      <c r="A838" s="106"/>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75"/>
      <c r="BI838" s="75"/>
      <c r="BJ838" s="75"/>
      <c r="BK838" s="75"/>
      <c r="BL838" s="75"/>
      <c r="BM838" s="75"/>
      <c r="BN838" s="75"/>
      <c r="BO838" s="75"/>
      <c r="BP838" s="75"/>
      <c r="BQ838" s="75"/>
      <c r="BR838" s="75"/>
      <c r="BS838" s="75"/>
    </row>
    <row r="839" ht="15.75" customHeight="1">
      <c r="A839" s="106"/>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c r="BJ839" s="75"/>
      <c r="BK839" s="75"/>
      <c r="BL839" s="75"/>
      <c r="BM839" s="75"/>
      <c r="BN839" s="75"/>
      <c r="BO839" s="75"/>
      <c r="BP839" s="75"/>
      <c r="BQ839" s="75"/>
      <c r="BR839" s="75"/>
      <c r="BS839" s="75"/>
    </row>
    <row r="840" ht="15.75" customHeight="1">
      <c r="A840" s="106"/>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75"/>
      <c r="BI840" s="75"/>
      <c r="BJ840" s="75"/>
      <c r="BK840" s="75"/>
      <c r="BL840" s="75"/>
      <c r="BM840" s="75"/>
      <c r="BN840" s="75"/>
      <c r="BO840" s="75"/>
      <c r="BP840" s="75"/>
      <c r="BQ840" s="75"/>
      <c r="BR840" s="75"/>
      <c r="BS840" s="75"/>
    </row>
    <row r="841" ht="15.75" customHeight="1">
      <c r="A841" s="106"/>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75"/>
      <c r="BI841" s="75"/>
      <c r="BJ841" s="75"/>
      <c r="BK841" s="75"/>
      <c r="BL841" s="75"/>
      <c r="BM841" s="75"/>
      <c r="BN841" s="75"/>
      <c r="BO841" s="75"/>
      <c r="BP841" s="75"/>
      <c r="BQ841" s="75"/>
      <c r="BR841" s="75"/>
      <c r="BS841" s="75"/>
    </row>
    <row r="842" ht="15.75" customHeight="1">
      <c r="A842" s="106"/>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75"/>
      <c r="BI842" s="75"/>
      <c r="BJ842" s="75"/>
      <c r="BK842" s="75"/>
      <c r="BL842" s="75"/>
      <c r="BM842" s="75"/>
      <c r="BN842" s="75"/>
      <c r="BO842" s="75"/>
      <c r="BP842" s="75"/>
      <c r="BQ842" s="75"/>
      <c r="BR842" s="75"/>
      <c r="BS842" s="75"/>
    </row>
    <row r="843" ht="15.75" customHeight="1">
      <c r="A843" s="106"/>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75"/>
      <c r="BI843" s="75"/>
      <c r="BJ843" s="75"/>
      <c r="BK843" s="75"/>
      <c r="BL843" s="75"/>
      <c r="BM843" s="75"/>
      <c r="BN843" s="75"/>
      <c r="BO843" s="75"/>
      <c r="BP843" s="75"/>
      <c r="BQ843" s="75"/>
      <c r="BR843" s="75"/>
      <c r="BS843" s="75"/>
    </row>
    <row r="844" ht="15.75" customHeight="1">
      <c r="A844" s="106"/>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c r="BJ844" s="75"/>
      <c r="BK844" s="75"/>
      <c r="BL844" s="75"/>
      <c r="BM844" s="75"/>
      <c r="BN844" s="75"/>
      <c r="BO844" s="75"/>
      <c r="BP844" s="75"/>
      <c r="BQ844" s="75"/>
      <c r="BR844" s="75"/>
      <c r="BS844" s="75"/>
    </row>
    <row r="845" ht="15.75" customHeight="1">
      <c r="A845" s="106"/>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c r="BJ845" s="75"/>
      <c r="BK845" s="75"/>
      <c r="BL845" s="75"/>
      <c r="BM845" s="75"/>
      <c r="BN845" s="75"/>
      <c r="BO845" s="75"/>
      <c r="BP845" s="75"/>
      <c r="BQ845" s="75"/>
      <c r="BR845" s="75"/>
      <c r="BS845" s="75"/>
    </row>
    <row r="846" ht="15.75" customHeight="1">
      <c r="A846" s="106"/>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c r="BJ846" s="75"/>
      <c r="BK846" s="75"/>
      <c r="BL846" s="75"/>
      <c r="BM846" s="75"/>
      <c r="BN846" s="75"/>
      <c r="BO846" s="75"/>
      <c r="BP846" s="75"/>
      <c r="BQ846" s="75"/>
      <c r="BR846" s="75"/>
      <c r="BS846" s="75"/>
    </row>
    <row r="847" ht="15.75" customHeight="1">
      <c r="A847" s="106"/>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c r="BJ847" s="75"/>
      <c r="BK847" s="75"/>
      <c r="BL847" s="75"/>
      <c r="BM847" s="75"/>
      <c r="BN847" s="75"/>
      <c r="BO847" s="75"/>
      <c r="BP847" s="75"/>
      <c r="BQ847" s="75"/>
      <c r="BR847" s="75"/>
      <c r="BS847" s="75"/>
    </row>
    <row r="848" ht="15.75" customHeight="1">
      <c r="A848" s="106"/>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75"/>
      <c r="BI848" s="75"/>
      <c r="BJ848" s="75"/>
      <c r="BK848" s="75"/>
      <c r="BL848" s="75"/>
      <c r="BM848" s="75"/>
      <c r="BN848" s="75"/>
      <c r="BO848" s="75"/>
      <c r="BP848" s="75"/>
      <c r="BQ848" s="75"/>
      <c r="BR848" s="75"/>
      <c r="BS848" s="75"/>
    </row>
    <row r="849" ht="15.75" customHeight="1">
      <c r="A849" s="106"/>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75"/>
      <c r="BI849" s="75"/>
      <c r="BJ849" s="75"/>
      <c r="BK849" s="75"/>
      <c r="BL849" s="75"/>
      <c r="BM849" s="75"/>
      <c r="BN849" s="75"/>
      <c r="BO849" s="75"/>
      <c r="BP849" s="75"/>
      <c r="BQ849" s="75"/>
      <c r="BR849" s="75"/>
      <c r="BS849" s="75"/>
    </row>
    <row r="850" ht="15.75" customHeight="1">
      <c r="A850" s="106"/>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75"/>
      <c r="BI850" s="75"/>
      <c r="BJ850" s="75"/>
      <c r="BK850" s="75"/>
      <c r="BL850" s="75"/>
      <c r="BM850" s="75"/>
      <c r="BN850" s="75"/>
      <c r="BO850" s="75"/>
      <c r="BP850" s="75"/>
      <c r="BQ850" s="75"/>
      <c r="BR850" s="75"/>
      <c r="BS850" s="75"/>
    </row>
    <row r="851" ht="15.75" customHeight="1">
      <c r="A851" s="106"/>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75"/>
      <c r="BI851" s="75"/>
      <c r="BJ851" s="75"/>
      <c r="BK851" s="75"/>
      <c r="BL851" s="75"/>
      <c r="BM851" s="75"/>
      <c r="BN851" s="75"/>
      <c r="BO851" s="75"/>
      <c r="BP851" s="75"/>
      <c r="BQ851" s="75"/>
      <c r="BR851" s="75"/>
      <c r="BS851" s="75"/>
    </row>
    <row r="852" ht="15.75" customHeight="1">
      <c r="A852" s="106"/>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75"/>
      <c r="BI852" s="75"/>
      <c r="BJ852" s="75"/>
      <c r="BK852" s="75"/>
      <c r="BL852" s="75"/>
      <c r="BM852" s="75"/>
      <c r="BN852" s="75"/>
      <c r="BO852" s="75"/>
      <c r="BP852" s="75"/>
      <c r="BQ852" s="75"/>
      <c r="BR852" s="75"/>
      <c r="BS852" s="75"/>
    </row>
    <row r="853" ht="15.75" customHeight="1">
      <c r="A853" s="106"/>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c r="BJ853" s="75"/>
      <c r="BK853" s="75"/>
      <c r="BL853" s="75"/>
      <c r="BM853" s="75"/>
      <c r="BN853" s="75"/>
      <c r="BO853" s="75"/>
      <c r="BP853" s="75"/>
      <c r="BQ853" s="75"/>
      <c r="BR853" s="75"/>
      <c r="BS853" s="75"/>
    </row>
    <row r="854" ht="15.75" customHeight="1">
      <c r="A854" s="106"/>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c r="BJ854" s="75"/>
      <c r="BK854" s="75"/>
      <c r="BL854" s="75"/>
      <c r="BM854" s="75"/>
      <c r="BN854" s="75"/>
      <c r="BO854" s="75"/>
      <c r="BP854" s="75"/>
      <c r="BQ854" s="75"/>
      <c r="BR854" s="75"/>
      <c r="BS854" s="75"/>
    </row>
    <row r="855" ht="15.75" customHeight="1">
      <c r="A855" s="106"/>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75"/>
      <c r="BI855" s="75"/>
      <c r="BJ855" s="75"/>
      <c r="BK855" s="75"/>
      <c r="BL855" s="75"/>
      <c r="BM855" s="75"/>
      <c r="BN855" s="75"/>
      <c r="BO855" s="75"/>
      <c r="BP855" s="75"/>
      <c r="BQ855" s="75"/>
      <c r="BR855" s="75"/>
      <c r="BS855" s="75"/>
    </row>
    <row r="856" ht="15.75" customHeight="1">
      <c r="A856" s="106"/>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75"/>
      <c r="BI856" s="75"/>
      <c r="BJ856" s="75"/>
      <c r="BK856" s="75"/>
      <c r="BL856" s="75"/>
      <c r="BM856" s="75"/>
      <c r="BN856" s="75"/>
      <c r="BO856" s="75"/>
      <c r="BP856" s="75"/>
      <c r="BQ856" s="75"/>
      <c r="BR856" s="75"/>
      <c r="BS856" s="75"/>
    </row>
    <row r="857" ht="15.75" customHeight="1">
      <c r="A857" s="106"/>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c r="BJ857" s="75"/>
      <c r="BK857" s="75"/>
      <c r="BL857" s="75"/>
      <c r="BM857" s="75"/>
      <c r="BN857" s="75"/>
      <c r="BO857" s="75"/>
      <c r="BP857" s="75"/>
      <c r="BQ857" s="75"/>
      <c r="BR857" s="75"/>
      <c r="BS857" s="75"/>
    </row>
    <row r="858" ht="15.75" customHeight="1">
      <c r="A858" s="106"/>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c r="BJ858" s="75"/>
      <c r="BK858" s="75"/>
      <c r="BL858" s="75"/>
      <c r="BM858" s="75"/>
      <c r="BN858" s="75"/>
      <c r="BO858" s="75"/>
      <c r="BP858" s="75"/>
      <c r="BQ858" s="75"/>
      <c r="BR858" s="75"/>
      <c r="BS858" s="75"/>
    </row>
    <row r="859" ht="15.75" customHeight="1">
      <c r="A859" s="106"/>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c r="BJ859" s="75"/>
      <c r="BK859" s="75"/>
      <c r="BL859" s="75"/>
      <c r="BM859" s="75"/>
      <c r="BN859" s="75"/>
      <c r="BO859" s="75"/>
      <c r="BP859" s="75"/>
      <c r="BQ859" s="75"/>
      <c r="BR859" s="75"/>
      <c r="BS859" s="75"/>
    </row>
    <row r="860" ht="15.75" customHeight="1">
      <c r="A860" s="106"/>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75"/>
      <c r="BI860" s="75"/>
      <c r="BJ860" s="75"/>
      <c r="BK860" s="75"/>
      <c r="BL860" s="75"/>
      <c r="BM860" s="75"/>
      <c r="BN860" s="75"/>
      <c r="BO860" s="75"/>
      <c r="BP860" s="75"/>
      <c r="BQ860" s="75"/>
      <c r="BR860" s="75"/>
      <c r="BS860" s="75"/>
    </row>
    <row r="861" ht="15.75" customHeight="1">
      <c r="A861" s="106"/>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75"/>
      <c r="BI861" s="75"/>
      <c r="BJ861" s="75"/>
      <c r="BK861" s="75"/>
      <c r="BL861" s="75"/>
      <c r="BM861" s="75"/>
      <c r="BN861" s="75"/>
      <c r="BO861" s="75"/>
      <c r="BP861" s="75"/>
      <c r="BQ861" s="75"/>
      <c r="BR861" s="75"/>
      <c r="BS861" s="75"/>
    </row>
    <row r="862" ht="15.75" customHeight="1">
      <c r="A862" s="106"/>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75"/>
      <c r="BI862" s="75"/>
      <c r="BJ862" s="75"/>
      <c r="BK862" s="75"/>
      <c r="BL862" s="75"/>
      <c r="BM862" s="75"/>
      <c r="BN862" s="75"/>
      <c r="BO862" s="75"/>
      <c r="BP862" s="75"/>
      <c r="BQ862" s="75"/>
      <c r="BR862" s="75"/>
      <c r="BS862" s="75"/>
    </row>
    <row r="863" ht="15.75" customHeight="1">
      <c r="A863" s="106"/>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75"/>
      <c r="BI863" s="75"/>
      <c r="BJ863" s="75"/>
      <c r="BK863" s="75"/>
      <c r="BL863" s="75"/>
      <c r="BM863" s="75"/>
      <c r="BN863" s="75"/>
      <c r="BO863" s="75"/>
      <c r="BP863" s="75"/>
      <c r="BQ863" s="75"/>
      <c r="BR863" s="75"/>
      <c r="BS863" s="75"/>
    </row>
    <row r="864" ht="15.75" customHeight="1">
      <c r="A864" s="106"/>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75"/>
      <c r="BI864" s="75"/>
      <c r="BJ864" s="75"/>
      <c r="BK864" s="75"/>
      <c r="BL864" s="75"/>
      <c r="BM864" s="75"/>
      <c r="BN864" s="75"/>
      <c r="BO864" s="75"/>
      <c r="BP864" s="75"/>
      <c r="BQ864" s="75"/>
      <c r="BR864" s="75"/>
      <c r="BS864" s="75"/>
    </row>
    <row r="865" ht="15.75" customHeight="1">
      <c r="A865" s="106"/>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75"/>
      <c r="BI865" s="75"/>
      <c r="BJ865" s="75"/>
      <c r="BK865" s="75"/>
      <c r="BL865" s="75"/>
      <c r="BM865" s="75"/>
      <c r="BN865" s="75"/>
      <c r="BO865" s="75"/>
      <c r="BP865" s="75"/>
      <c r="BQ865" s="75"/>
      <c r="BR865" s="75"/>
      <c r="BS865" s="75"/>
    </row>
    <row r="866" ht="15.75" customHeight="1">
      <c r="A866" s="106"/>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75"/>
      <c r="BI866" s="75"/>
      <c r="BJ866" s="75"/>
      <c r="BK866" s="75"/>
      <c r="BL866" s="75"/>
      <c r="BM866" s="75"/>
      <c r="BN866" s="75"/>
      <c r="BO866" s="75"/>
      <c r="BP866" s="75"/>
      <c r="BQ866" s="75"/>
      <c r="BR866" s="75"/>
      <c r="BS866" s="75"/>
    </row>
    <row r="867" ht="15.75" customHeight="1">
      <c r="A867" s="106"/>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c r="BJ867" s="75"/>
      <c r="BK867" s="75"/>
      <c r="BL867" s="75"/>
      <c r="BM867" s="75"/>
      <c r="BN867" s="75"/>
      <c r="BO867" s="75"/>
      <c r="BP867" s="75"/>
      <c r="BQ867" s="75"/>
      <c r="BR867" s="75"/>
      <c r="BS867" s="75"/>
    </row>
    <row r="868" ht="15.75" customHeight="1">
      <c r="A868" s="106"/>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75"/>
      <c r="BI868" s="75"/>
      <c r="BJ868" s="75"/>
      <c r="BK868" s="75"/>
      <c r="BL868" s="75"/>
      <c r="BM868" s="75"/>
      <c r="BN868" s="75"/>
      <c r="BO868" s="75"/>
      <c r="BP868" s="75"/>
      <c r="BQ868" s="75"/>
      <c r="BR868" s="75"/>
      <c r="BS868" s="75"/>
    </row>
    <row r="869" ht="15.75" customHeight="1">
      <c r="A869" s="106"/>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75"/>
      <c r="BI869" s="75"/>
      <c r="BJ869" s="75"/>
      <c r="BK869" s="75"/>
      <c r="BL869" s="75"/>
      <c r="BM869" s="75"/>
      <c r="BN869" s="75"/>
      <c r="BO869" s="75"/>
      <c r="BP869" s="75"/>
      <c r="BQ869" s="75"/>
      <c r="BR869" s="75"/>
      <c r="BS869" s="75"/>
    </row>
    <row r="870" ht="15.75" customHeight="1">
      <c r="A870" s="106"/>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75"/>
      <c r="BI870" s="75"/>
      <c r="BJ870" s="75"/>
      <c r="BK870" s="75"/>
      <c r="BL870" s="75"/>
      <c r="BM870" s="75"/>
      <c r="BN870" s="75"/>
      <c r="BO870" s="75"/>
      <c r="BP870" s="75"/>
      <c r="BQ870" s="75"/>
      <c r="BR870" s="75"/>
      <c r="BS870" s="75"/>
    </row>
    <row r="871" ht="15.75" customHeight="1">
      <c r="A871" s="106"/>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c r="BJ871" s="75"/>
      <c r="BK871" s="75"/>
      <c r="BL871" s="75"/>
      <c r="BM871" s="75"/>
      <c r="BN871" s="75"/>
      <c r="BO871" s="75"/>
      <c r="BP871" s="75"/>
      <c r="BQ871" s="75"/>
      <c r="BR871" s="75"/>
      <c r="BS871" s="75"/>
    </row>
    <row r="872" ht="15.75" customHeight="1">
      <c r="A872" s="106"/>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c r="BJ872" s="75"/>
      <c r="BK872" s="75"/>
      <c r="BL872" s="75"/>
      <c r="BM872" s="75"/>
      <c r="BN872" s="75"/>
      <c r="BO872" s="75"/>
      <c r="BP872" s="75"/>
      <c r="BQ872" s="75"/>
      <c r="BR872" s="75"/>
      <c r="BS872" s="75"/>
    </row>
    <row r="873" ht="15.75" customHeight="1">
      <c r="A873" s="106"/>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c r="BJ873" s="75"/>
      <c r="BK873" s="75"/>
      <c r="BL873" s="75"/>
      <c r="BM873" s="75"/>
      <c r="BN873" s="75"/>
      <c r="BO873" s="75"/>
      <c r="BP873" s="75"/>
      <c r="BQ873" s="75"/>
      <c r="BR873" s="75"/>
      <c r="BS873" s="75"/>
    </row>
    <row r="874" ht="15.75" customHeight="1">
      <c r="A874" s="106"/>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c r="BJ874" s="75"/>
      <c r="BK874" s="75"/>
      <c r="BL874" s="75"/>
      <c r="BM874" s="75"/>
      <c r="BN874" s="75"/>
      <c r="BO874" s="75"/>
      <c r="BP874" s="75"/>
      <c r="BQ874" s="75"/>
      <c r="BR874" s="75"/>
      <c r="BS874" s="75"/>
    </row>
    <row r="875" ht="15.75" customHeight="1">
      <c r="A875" s="106"/>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75"/>
      <c r="BI875" s="75"/>
      <c r="BJ875" s="75"/>
      <c r="BK875" s="75"/>
      <c r="BL875" s="75"/>
      <c r="BM875" s="75"/>
      <c r="BN875" s="75"/>
      <c r="BO875" s="75"/>
      <c r="BP875" s="75"/>
      <c r="BQ875" s="75"/>
      <c r="BR875" s="75"/>
      <c r="BS875" s="75"/>
    </row>
    <row r="876" ht="15.75" customHeight="1">
      <c r="A876" s="106"/>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75"/>
      <c r="BI876" s="75"/>
      <c r="BJ876" s="75"/>
      <c r="BK876" s="75"/>
      <c r="BL876" s="75"/>
      <c r="BM876" s="75"/>
      <c r="BN876" s="75"/>
      <c r="BO876" s="75"/>
      <c r="BP876" s="75"/>
      <c r="BQ876" s="75"/>
      <c r="BR876" s="75"/>
      <c r="BS876" s="75"/>
    </row>
    <row r="877" ht="15.75" customHeight="1">
      <c r="A877" s="106"/>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75"/>
      <c r="BI877" s="75"/>
      <c r="BJ877" s="75"/>
      <c r="BK877" s="75"/>
      <c r="BL877" s="75"/>
      <c r="BM877" s="75"/>
      <c r="BN877" s="75"/>
      <c r="BO877" s="75"/>
      <c r="BP877" s="75"/>
      <c r="BQ877" s="75"/>
      <c r="BR877" s="75"/>
      <c r="BS877" s="75"/>
    </row>
    <row r="878" ht="15.75" customHeight="1">
      <c r="A878" s="106"/>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75"/>
      <c r="BI878" s="75"/>
      <c r="BJ878" s="75"/>
      <c r="BK878" s="75"/>
      <c r="BL878" s="75"/>
      <c r="BM878" s="75"/>
      <c r="BN878" s="75"/>
      <c r="BO878" s="75"/>
      <c r="BP878" s="75"/>
      <c r="BQ878" s="75"/>
      <c r="BR878" s="75"/>
      <c r="BS878" s="75"/>
    </row>
    <row r="879" ht="15.75" customHeight="1">
      <c r="A879" s="106"/>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75"/>
      <c r="BI879" s="75"/>
      <c r="BJ879" s="75"/>
      <c r="BK879" s="75"/>
      <c r="BL879" s="75"/>
      <c r="BM879" s="75"/>
      <c r="BN879" s="75"/>
      <c r="BO879" s="75"/>
      <c r="BP879" s="75"/>
      <c r="BQ879" s="75"/>
      <c r="BR879" s="75"/>
      <c r="BS879" s="75"/>
    </row>
    <row r="880" ht="15.75" customHeight="1">
      <c r="A880" s="106"/>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75"/>
      <c r="BI880" s="75"/>
      <c r="BJ880" s="75"/>
      <c r="BK880" s="75"/>
      <c r="BL880" s="75"/>
      <c r="BM880" s="75"/>
      <c r="BN880" s="75"/>
      <c r="BO880" s="75"/>
      <c r="BP880" s="75"/>
      <c r="BQ880" s="75"/>
      <c r="BR880" s="75"/>
      <c r="BS880" s="75"/>
    </row>
    <row r="881" ht="15.75" customHeight="1">
      <c r="A881" s="106"/>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75"/>
      <c r="BI881" s="75"/>
      <c r="BJ881" s="75"/>
      <c r="BK881" s="75"/>
      <c r="BL881" s="75"/>
      <c r="BM881" s="75"/>
      <c r="BN881" s="75"/>
      <c r="BO881" s="75"/>
      <c r="BP881" s="75"/>
      <c r="BQ881" s="75"/>
      <c r="BR881" s="75"/>
      <c r="BS881" s="75"/>
    </row>
    <row r="882" ht="15.75" customHeight="1">
      <c r="A882" s="106"/>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75"/>
      <c r="BI882" s="75"/>
      <c r="BJ882" s="75"/>
      <c r="BK882" s="75"/>
      <c r="BL882" s="75"/>
      <c r="BM882" s="75"/>
      <c r="BN882" s="75"/>
      <c r="BO882" s="75"/>
      <c r="BP882" s="75"/>
      <c r="BQ882" s="75"/>
      <c r="BR882" s="75"/>
      <c r="BS882" s="75"/>
    </row>
    <row r="883" ht="15.75" customHeight="1">
      <c r="A883" s="106"/>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c r="BJ883" s="75"/>
      <c r="BK883" s="75"/>
      <c r="BL883" s="75"/>
      <c r="BM883" s="75"/>
      <c r="BN883" s="75"/>
      <c r="BO883" s="75"/>
      <c r="BP883" s="75"/>
      <c r="BQ883" s="75"/>
      <c r="BR883" s="75"/>
      <c r="BS883" s="75"/>
    </row>
    <row r="884" ht="15.75" customHeight="1">
      <c r="A884" s="106"/>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75"/>
      <c r="BI884" s="75"/>
      <c r="BJ884" s="75"/>
      <c r="BK884" s="75"/>
      <c r="BL884" s="75"/>
      <c r="BM884" s="75"/>
      <c r="BN884" s="75"/>
      <c r="BO884" s="75"/>
      <c r="BP884" s="75"/>
      <c r="BQ884" s="75"/>
      <c r="BR884" s="75"/>
      <c r="BS884" s="75"/>
    </row>
    <row r="885" ht="15.75" customHeight="1">
      <c r="A885" s="106"/>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75"/>
      <c r="BI885" s="75"/>
      <c r="BJ885" s="75"/>
      <c r="BK885" s="75"/>
      <c r="BL885" s="75"/>
      <c r="BM885" s="75"/>
      <c r="BN885" s="75"/>
      <c r="BO885" s="75"/>
      <c r="BP885" s="75"/>
      <c r="BQ885" s="75"/>
      <c r="BR885" s="75"/>
      <c r="BS885" s="75"/>
    </row>
    <row r="886" ht="15.75" customHeight="1">
      <c r="A886" s="106"/>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75"/>
      <c r="BI886" s="75"/>
      <c r="BJ886" s="75"/>
      <c r="BK886" s="75"/>
      <c r="BL886" s="75"/>
      <c r="BM886" s="75"/>
      <c r="BN886" s="75"/>
      <c r="BO886" s="75"/>
      <c r="BP886" s="75"/>
      <c r="BQ886" s="75"/>
      <c r="BR886" s="75"/>
      <c r="BS886" s="75"/>
    </row>
    <row r="887" ht="15.75" customHeight="1">
      <c r="A887" s="106"/>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75"/>
      <c r="BI887" s="75"/>
      <c r="BJ887" s="75"/>
      <c r="BK887" s="75"/>
      <c r="BL887" s="75"/>
      <c r="BM887" s="75"/>
      <c r="BN887" s="75"/>
      <c r="BO887" s="75"/>
      <c r="BP887" s="75"/>
      <c r="BQ887" s="75"/>
      <c r="BR887" s="75"/>
      <c r="BS887" s="75"/>
    </row>
    <row r="888" ht="15.75" customHeight="1">
      <c r="A888" s="106"/>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c r="BJ888" s="75"/>
      <c r="BK888" s="75"/>
      <c r="BL888" s="75"/>
      <c r="BM888" s="75"/>
      <c r="BN888" s="75"/>
      <c r="BO888" s="75"/>
      <c r="BP888" s="75"/>
      <c r="BQ888" s="75"/>
      <c r="BR888" s="75"/>
      <c r="BS888" s="75"/>
    </row>
    <row r="889" ht="15.75" customHeight="1">
      <c r="A889" s="106"/>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c r="BJ889" s="75"/>
      <c r="BK889" s="75"/>
      <c r="BL889" s="75"/>
      <c r="BM889" s="75"/>
      <c r="BN889" s="75"/>
      <c r="BO889" s="75"/>
      <c r="BP889" s="75"/>
      <c r="BQ889" s="75"/>
      <c r="BR889" s="75"/>
      <c r="BS889" s="75"/>
    </row>
    <row r="890" ht="15.75" customHeight="1">
      <c r="A890" s="106"/>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c r="BJ890" s="75"/>
      <c r="BK890" s="75"/>
      <c r="BL890" s="75"/>
      <c r="BM890" s="75"/>
      <c r="BN890" s="75"/>
      <c r="BO890" s="75"/>
      <c r="BP890" s="75"/>
      <c r="BQ890" s="75"/>
      <c r="BR890" s="75"/>
      <c r="BS890" s="75"/>
    </row>
    <row r="891" ht="15.75" customHeight="1">
      <c r="A891" s="106"/>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c r="BJ891" s="75"/>
      <c r="BK891" s="75"/>
      <c r="BL891" s="75"/>
      <c r="BM891" s="75"/>
      <c r="BN891" s="75"/>
      <c r="BO891" s="75"/>
      <c r="BP891" s="75"/>
      <c r="BQ891" s="75"/>
      <c r="BR891" s="75"/>
      <c r="BS891" s="75"/>
    </row>
    <row r="892" ht="15.75" customHeight="1">
      <c r="A892" s="106"/>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c r="BJ892" s="75"/>
      <c r="BK892" s="75"/>
      <c r="BL892" s="75"/>
      <c r="BM892" s="75"/>
      <c r="BN892" s="75"/>
      <c r="BO892" s="75"/>
      <c r="BP892" s="75"/>
      <c r="BQ892" s="75"/>
      <c r="BR892" s="75"/>
      <c r="BS892" s="75"/>
    </row>
    <row r="893" ht="15.75" customHeight="1">
      <c r="A893" s="106"/>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c r="BJ893" s="75"/>
      <c r="BK893" s="75"/>
      <c r="BL893" s="75"/>
      <c r="BM893" s="75"/>
      <c r="BN893" s="75"/>
      <c r="BO893" s="75"/>
      <c r="BP893" s="75"/>
      <c r="BQ893" s="75"/>
      <c r="BR893" s="75"/>
      <c r="BS893" s="75"/>
    </row>
    <row r="894" ht="15.75" customHeight="1">
      <c r="A894" s="106"/>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c r="BJ894" s="75"/>
      <c r="BK894" s="75"/>
      <c r="BL894" s="75"/>
      <c r="BM894" s="75"/>
      <c r="BN894" s="75"/>
      <c r="BO894" s="75"/>
      <c r="BP894" s="75"/>
      <c r="BQ894" s="75"/>
      <c r="BR894" s="75"/>
      <c r="BS894" s="75"/>
    </row>
    <row r="895" ht="15.75" customHeight="1">
      <c r="A895" s="106"/>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c r="BJ895" s="75"/>
      <c r="BK895" s="75"/>
      <c r="BL895" s="75"/>
      <c r="BM895" s="75"/>
      <c r="BN895" s="75"/>
      <c r="BO895" s="75"/>
      <c r="BP895" s="75"/>
      <c r="BQ895" s="75"/>
      <c r="BR895" s="75"/>
      <c r="BS895" s="75"/>
    </row>
    <row r="896" ht="15.75" customHeight="1">
      <c r="A896" s="106"/>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75"/>
      <c r="BI896" s="75"/>
      <c r="BJ896" s="75"/>
      <c r="BK896" s="75"/>
      <c r="BL896" s="75"/>
      <c r="BM896" s="75"/>
      <c r="BN896" s="75"/>
      <c r="BO896" s="75"/>
      <c r="BP896" s="75"/>
      <c r="BQ896" s="75"/>
      <c r="BR896" s="75"/>
      <c r="BS896" s="75"/>
    </row>
    <row r="897" ht="15.75" customHeight="1">
      <c r="A897" s="106"/>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75"/>
      <c r="BI897" s="75"/>
      <c r="BJ897" s="75"/>
      <c r="BK897" s="75"/>
      <c r="BL897" s="75"/>
      <c r="BM897" s="75"/>
      <c r="BN897" s="75"/>
      <c r="BO897" s="75"/>
      <c r="BP897" s="75"/>
      <c r="BQ897" s="75"/>
      <c r="BR897" s="75"/>
      <c r="BS897" s="75"/>
    </row>
    <row r="898" ht="15.75" customHeight="1">
      <c r="A898" s="106"/>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75"/>
      <c r="BI898" s="75"/>
      <c r="BJ898" s="75"/>
      <c r="BK898" s="75"/>
      <c r="BL898" s="75"/>
      <c r="BM898" s="75"/>
      <c r="BN898" s="75"/>
      <c r="BO898" s="75"/>
      <c r="BP898" s="75"/>
      <c r="BQ898" s="75"/>
      <c r="BR898" s="75"/>
      <c r="BS898" s="75"/>
    </row>
    <row r="899" ht="15.75" customHeight="1">
      <c r="A899" s="106"/>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75"/>
      <c r="BI899" s="75"/>
      <c r="BJ899" s="75"/>
      <c r="BK899" s="75"/>
      <c r="BL899" s="75"/>
      <c r="BM899" s="75"/>
      <c r="BN899" s="75"/>
      <c r="BO899" s="75"/>
      <c r="BP899" s="75"/>
      <c r="BQ899" s="75"/>
      <c r="BR899" s="75"/>
      <c r="BS899" s="75"/>
    </row>
    <row r="900" ht="15.75" customHeight="1">
      <c r="A900" s="106"/>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75"/>
      <c r="BI900" s="75"/>
      <c r="BJ900" s="75"/>
      <c r="BK900" s="75"/>
      <c r="BL900" s="75"/>
      <c r="BM900" s="75"/>
      <c r="BN900" s="75"/>
      <c r="BO900" s="75"/>
      <c r="BP900" s="75"/>
      <c r="BQ900" s="75"/>
      <c r="BR900" s="75"/>
      <c r="BS900" s="75"/>
    </row>
    <row r="901" ht="15.75" customHeight="1">
      <c r="A901" s="106"/>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75"/>
      <c r="BI901" s="75"/>
      <c r="BJ901" s="75"/>
      <c r="BK901" s="75"/>
      <c r="BL901" s="75"/>
      <c r="BM901" s="75"/>
      <c r="BN901" s="75"/>
      <c r="BO901" s="75"/>
      <c r="BP901" s="75"/>
      <c r="BQ901" s="75"/>
      <c r="BR901" s="75"/>
      <c r="BS901" s="75"/>
    </row>
    <row r="902" ht="15.75" customHeight="1">
      <c r="A902" s="106"/>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75"/>
      <c r="BI902" s="75"/>
      <c r="BJ902" s="75"/>
      <c r="BK902" s="75"/>
      <c r="BL902" s="75"/>
      <c r="BM902" s="75"/>
      <c r="BN902" s="75"/>
      <c r="BO902" s="75"/>
      <c r="BP902" s="75"/>
      <c r="BQ902" s="75"/>
      <c r="BR902" s="75"/>
      <c r="BS902" s="75"/>
    </row>
    <row r="903" ht="15.75" customHeight="1">
      <c r="A903" s="106"/>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75"/>
      <c r="BI903" s="75"/>
      <c r="BJ903" s="75"/>
      <c r="BK903" s="75"/>
      <c r="BL903" s="75"/>
      <c r="BM903" s="75"/>
      <c r="BN903" s="75"/>
      <c r="BO903" s="75"/>
      <c r="BP903" s="75"/>
      <c r="BQ903" s="75"/>
      <c r="BR903" s="75"/>
      <c r="BS903" s="75"/>
    </row>
    <row r="904" ht="15.75" customHeight="1">
      <c r="A904" s="106"/>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75"/>
      <c r="BI904" s="75"/>
      <c r="BJ904" s="75"/>
      <c r="BK904" s="75"/>
      <c r="BL904" s="75"/>
      <c r="BM904" s="75"/>
      <c r="BN904" s="75"/>
      <c r="BO904" s="75"/>
      <c r="BP904" s="75"/>
      <c r="BQ904" s="75"/>
      <c r="BR904" s="75"/>
      <c r="BS904" s="75"/>
    </row>
    <row r="905" ht="15.75" customHeight="1">
      <c r="A905" s="106"/>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c r="BJ905" s="75"/>
      <c r="BK905" s="75"/>
      <c r="BL905" s="75"/>
      <c r="BM905" s="75"/>
      <c r="BN905" s="75"/>
      <c r="BO905" s="75"/>
      <c r="BP905" s="75"/>
      <c r="BQ905" s="75"/>
      <c r="BR905" s="75"/>
      <c r="BS905" s="75"/>
    </row>
    <row r="906" ht="15.75" customHeight="1">
      <c r="A906" s="106"/>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c r="BJ906" s="75"/>
      <c r="BK906" s="75"/>
      <c r="BL906" s="75"/>
      <c r="BM906" s="75"/>
      <c r="BN906" s="75"/>
      <c r="BO906" s="75"/>
      <c r="BP906" s="75"/>
      <c r="BQ906" s="75"/>
      <c r="BR906" s="75"/>
      <c r="BS906" s="75"/>
    </row>
    <row r="907" ht="15.75" customHeight="1">
      <c r="A907" s="106"/>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c r="BJ907" s="75"/>
      <c r="BK907" s="75"/>
      <c r="BL907" s="75"/>
      <c r="BM907" s="75"/>
      <c r="BN907" s="75"/>
      <c r="BO907" s="75"/>
      <c r="BP907" s="75"/>
      <c r="BQ907" s="75"/>
      <c r="BR907" s="75"/>
      <c r="BS907" s="75"/>
    </row>
    <row r="908" ht="15.75" customHeight="1">
      <c r="A908" s="106"/>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c r="BJ908" s="75"/>
      <c r="BK908" s="75"/>
      <c r="BL908" s="75"/>
      <c r="BM908" s="75"/>
      <c r="BN908" s="75"/>
      <c r="BO908" s="75"/>
      <c r="BP908" s="75"/>
      <c r="BQ908" s="75"/>
      <c r="BR908" s="75"/>
      <c r="BS908" s="75"/>
    </row>
    <row r="909" ht="15.75" customHeight="1">
      <c r="A909" s="106"/>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75"/>
      <c r="BI909" s="75"/>
      <c r="BJ909" s="75"/>
      <c r="BK909" s="75"/>
      <c r="BL909" s="75"/>
      <c r="BM909" s="75"/>
      <c r="BN909" s="75"/>
      <c r="BO909" s="75"/>
      <c r="BP909" s="75"/>
      <c r="BQ909" s="75"/>
      <c r="BR909" s="75"/>
      <c r="BS909" s="75"/>
    </row>
    <row r="910" ht="15.75" customHeight="1">
      <c r="A910" s="106"/>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c r="BJ910" s="75"/>
      <c r="BK910" s="75"/>
      <c r="BL910" s="75"/>
      <c r="BM910" s="75"/>
      <c r="BN910" s="75"/>
      <c r="BO910" s="75"/>
      <c r="BP910" s="75"/>
      <c r="BQ910" s="75"/>
      <c r="BR910" s="75"/>
      <c r="BS910" s="75"/>
    </row>
    <row r="911" ht="15.75" customHeight="1">
      <c r="A911" s="106"/>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c r="BJ911" s="75"/>
      <c r="BK911" s="75"/>
      <c r="BL911" s="75"/>
      <c r="BM911" s="75"/>
      <c r="BN911" s="75"/>
      <c r="BO911" s="75"/>
      <c r="BP911" s="75"/>
      <c r="BQ911" s="75"/>
      <c r="BR911" s="75"/>
      <c r="BS911" s="75"/>
    </row>
    <row r="912" ht="15.75" customHeight="1">
      <c r="A912" s="106"/>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c r="BJ912" s="75"/>
      <c r="BK912" s="75"/>
      <c r="BL912" s="75"/>
      <c r="BM912" s="75"/>
      <c r="BN912" s="75"/>
      <c r="BO912" s="75"/>
      <c r="BP912" s="75"/>
      <c r="BQ912" s="75"/>
      <c r="BR912" s="75"/>
      <c r="BS912" s="75"/>
    </row>
    <row r="913" ht="15.75" customHeight="1">
      <c r="A913" s="106"/>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75"/>
      <c r="BI913" s="75"/>
      <c r="BJ913" s="75"/>
      <c r="BK913" s="75"/>
      <c r="BL913" s="75"/>
      <c r="BM913" s="75"/>
      <c r="BN913" s="75"/>
      <c r="BO913" s="75"/>
      <c r="BP913" s="75"/>
      <c r="BQ913" s="75"/>
      <c r="BR913" s="75"/>
      <c r="BS913" s="75"/>
    </row>
    <row r="914" ht="15.75" customHeight="1">
      <c r="A914" s="106"/>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75"/>
      <c r="BI914" s="75"/>
      <c r="BJ914" s="75"/>
      <c r="BK914" s="75"/>
      <c r="BL914" s="75"/>
      <c r="BM914" s="75"/>
      <c r="BN914" s="75"/>
      <c r="BO914" s="75"/>
      <c r="BP914" s="75"/>
      <c r="BQ914" s="75"/>
      <c r="BR914" s="75"/>
      <c r="BS914" s="75"/>
    </row>
    <row r="915" ht="15.75" customHeight="1">
      <c r="A915" s="106"/>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75"/>
      <c r="BI915" s="75"/>
      <c r="BJ915" s="75"/>
      <c r="BK915" s="75"/>
      <c r="BL915" s="75"/>
      <c r="BM915" s="75"/>
      <c r="BN915" s="75"/>
      <c r="BO915" s="75"/>
      <c r="BP915" s="75"/>
      <c r="BQ915" s="75"/>
      <c r="BR915" s="75"/>
      <c r="BS915" s="75"/>
    </row>
    <row r="916" ht="15.75" customHeight="1">
      <c r="A916" s="106"/>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75"/>
      <c r="BI916" s="75"/>
      <c r="BJ916" s="75"/>
      <c r="BK916" s="75"/>
      <c r="BL916" s="75"/>
      <c r="BM916" s="75"/>
      <c r="BN916" s="75"/>
      <c r="BO916" s="75"/>
      <c r="BP916" s="75"/>
      <c r="BQ916" s="75"/>
      <c r="BR916" s="75"/>
      <c r="BS916" s="75"/>
    </row>
    <row r="917" ht="15.75" customHeight="1">
      <c r="A917" s="106"/>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75"/>
      <c r="BI917" s="75"/>
      <c r="BJ917" s="75"/>
      <c r="BK917" s="75"/>
      <c r="BL917" s="75"/>
      <c r="BM917" s="75"/>
      <c r="BN917" s="75"/>
      <c r="BO917" s="75"/>
      <c r="BP917" s="75"/>
      <c r="BQ917" s="75"/>
      <c r="BR917" s="75"/>
      <c r="BS917" s="75"/>
    </row>
    <row r="918" ht="15.75" customHeight="1">
      <c r="A918" s="106"/>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75"/>
      <c r="BI918" s="75"/>
      <c r="BJ918" s="75"/>
      <c r="BK918" s="75"/>
      <c r="BL918" s="75"/>
      <c r="BM918" s="75"/>
      <c r="BN918" s="75"/>
      <c r="BO918" s="75"/>
      <c r="BP918" s="75"/>
      <c r="BQ918" s="75"/>
      <c r="BR918" s="75"/>
      <c r="BS918" s="75"/>
    </row>
    <row r="919" ht="15.75" customHeight="1">
      <c r="A919" s="106"/>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c r="BJ919" s="75"/>
      <c r="BK919" s="75"/>
      <c r="BL919" s="75"/>
      <c r="BM919" s="75"/>
      <c r="BN919" s="75"/>
      <c r="BO919" s="75"/>
      <c r="BP919" s="75"/>
      <c r="BQ919" s="75"/>
      <c r="BR919" s="75"/>
      <c r="BS919" s="75"/>
    </row>
    <row r="920" ht="15.75" customHeight="1">
      <c r="A920" s="106"/>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75"/>
      <c r="BI920" s="75"/>
      <c r="BJ920" s="75"/>
      <c r="BK920" s="75"/>
      <c r="BL920" s="75"/>
      <c r="BM920" s="75"/>
      <c r="BN920" s="75"/>
      <c r="BO920" s="75"/>
      <c r="BP920" s="75"/>
      <c r="BQ920" s="75"/>
      <c r="BR920" s="75"/>
      <c r="BS920" s="75"/>
    </row>
    <row r="921" ht="15.75" customHeight="1">
      <c r="A921" s="106"/>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75"/>
      <c r="BI921" s="75"/>
      <c r="BJ921" s="75"/>
      <c r="BK921" s="75"/>
      <c r="BL921" s="75"/>
      <c r="BM921" s="75"/>
      <c r="BN921" s="75"/>
      <c r="BO921" s="75"/>
      <c r="BP921" s="75"/>
      <c r="BQ921" s="75"/>
      <c r="BR921" s="75"/>
      <c r="BS921" s="75"/>
    </row>
    <row r="922" ht="15.75" customHeight="1">
      <c r="A922" s="106"/>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75"/>
      <c r="BI922" s="75"/>
      <c r="BJ922" s="75"/>
      <c r="BK922" s="75"/>
      <c r="BL922" s="75"/>
      <c r="BM922" s="75"/>
      <c r="BN922" s="75"/>
      <c r="BO922" s="75"/>
      <c r="BP922" s="75"/>
      <c r="BQ922" s="75"/>
      <c r="BR922" s="75"/>
      <c r="BS922" s="75"/>
    </row>
    <row r="923" ht="15.75" customHeight="1">
      <c r="A923" s="106"/>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75"/>
      <c r="BI923" s="75"/>
      <c r="BJ923" s="75"/>
      <c r="BK923" s="75"/>
      <c r="BL923" s="75"/>
      <c r="BM923" s="75"/>
      <c r="BN923" s="75"/>
      <c r="BO923" s="75"/>
      <c r="BP923" s="75"/>
      <c r="BQ923" s="75"/>
      <c r="BR923" s="75"/>
      <c r="BS923" s="75"/>
    </row>
    <row r="924" ht="15.75" customHeight="1">
      <c r="A924" s="106"/>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75"/>
      <c r="BI924" s="75"/>
      <c r="BJ924" s="75"/>
      <c r="BK924" s="75"/>
      <c r="BL924" s="75"/>
      <c r="BM924" s="75"/>
      <c r="BN924" s="75"/>
      <c r="BO924" s="75"/>
      <c r="BP924" s="75"/>
      <c r="BQ924" s="75"/>
      <c r="BR924" s="75"/>
      <c r="BS924" s="75"/>
    </row>
    <row r="925" ht="15.75" customHeight="1">
      <c r="A925" s="106"/>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c r="BJ925" s="75"/>
      <c r="BK925" s="75"/>
      <c r="BL925" s="75"/>
      <c r="BM925" s="75"/>
      <c r="BN925" s="75"/>
      <c r="BO925" s="75"/>
      <c r="BP925" s="75"/>
      <c r="BQ925" s="75"/>
      <c r="BR925" s="75"/>
      <c r="BS925" s="75"/>
    </row>
    <row r="926" ht="15.75" customHeight="1">
      <c r="A926" s="106"/>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c r="BJ926" s="75"/>
      <c r="BK926" s="75"/>
      <c r="BL926" s="75"/>
      <c r="BM926" s="75"/>
      <c r="BN926" s="75"/>
      <c r="BO926" s="75"/>
      <c r="BP926" s="75"/>
      <c r="BQ926" s="75"/>
      <c r="BR926" s="75"/>
      <c r="BS926" s="75"/>
    </row>
    <row r="927" ht="15.75" customHeight="1">
      <c r="A927" s="106"/>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c r="BJ927" s="75"/>
      <c r="BK927" s="75"/>
      <c r="BL927" s="75"/>
      <c r="BM927" s="75"/>
      <c r="BN927" s="75"/>
      <c r="BO927" s="75"/>
      <c r="BP927" s="75"/>
      <c r="BQ927" s="75"/>
      <c r="BR927" s="75"/>
      <c r="BS927" s="75"/>
    </row>
    <row r="928" ht="15.75" customHeight="1">
      <c r="A928" s="106"/>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75"/>
      <c r="BI928" s="75"/>
      <c r="BJ928" s="75"/>
      <c r="BK928" s="75"/>
      <c r="BL928" s="75"/>
      <c r="BM928" s="75"/>
      <c r="BN928" s="75"/>
      <c r="BO928" s="75"/>
      <c r="BP928" s="75"/>
      <c r="BQ928" s="75"/>
      <c r="BR928" s="75"/>
      <c r="BS928" s="75"/>
    </row>
    <row r="929" ht="15.75" customHeight="1">
      <c r="A929" s="106"/>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75"/>
      <c r="BI929" s="75"/>
      <c r="BJ929" s="75"/>
      <c r="BK929" s="75"/>
      <c r="BL929" s="75"/>
      <c r="BM929" s="75"/>
      <c r="BN929" s="75"/>
      <c r="BO929" s="75"/>
      <c r="BP929" s="75"/>
      <c r="BQ929" s="75"/>
      <c r="BR929" s="75"/>
      <c r="BS929" s="75"/>
    </row>
    <row r="930" ht="15.75" customHeight="1">
      <c r="A930" s="106"/>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75"/>
      <c r="BI930" s="75"/>
      <c r="BJ930" s="75"/>
      <c r="BK930" s="75"/>
      <c r="BL930" s="75"/>
      <c r="BM930" s="75"/>
      <c r="BN930" s="75"/>
      <c r="BO930" s="75"/>
      <c r="BP930" s="75"/>
      <c r="BQ930" s="75"/>
      <c r="BR930" s="75"/>
      <c r="BS930" s="75"/>
    </row>
    <row r="931" ht="15.75" customHeight="1">
      <c r="A931" s="106"/>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75"/>
      <c r="BI931" s="75"/>
      <c r="BJ931" s="75"/>
      <c r="BK931" s="75"/>
      <c r="BL931" s="75"/>
      <c r="BM931" s="75"/>
      <c r="BN931" s="75"/>
      <c r="BO931" s="75"/>
      <c r="BP931" s="75"/>
      <c r="BQ931" s="75"/>
      <c r="BR931" s="75"/>
      <c r="BS931" s="75"/>
    </row>
    <row r="932" ht="15.75" customHeight="1">
      <c r="A932" s="106"/>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c r="BJ932" s="75"/>
      <c r="BK932" s="75"/>
      <c r="BL932" s="75"/>
      <c r="BM932" s="75"/>
      <c r="BN932" s="75"/>
      <c r="BO932" s="75"/>
      <c r="BP932" s="75"/>
      <c r="BQ932" s="75"/>
      <c r="BR932" s="75"/>
      <c r="BS932" s="75"/>
    </row>
    <row r="933" ht="15.75" customHeight="1">
      <c r="A933" s="106"/>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c r="BJ933" s="75"/>
      <c r="BK933" s="75"/>
      <c r="BL933" s="75"/>
      <c r="BM933" s="75"/>
      <c r="BN933" s="75"/>
      <c r="BO933" s="75"/>
      <c r="BP933" s="75"/>
      <c r="BQ933" s="75"/>
      <c r="BR933" s="75"/>
      <c r="BS933" s="75"/>
    </row>
    <row r="934" ht="15.75" customHeight="1">
      <c r="A934" s="106"/>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75"/>
      <c r="BI934" s="75"/>
      <c r="BJ934" s="75"/>
      <c r="BK934" s="75"/>
      <c r="BL934" s="75"/>
      <c r="BM934" s="75"/>
      <c r="BN934" s="75"/>
      <c r="BO934" s="75"/>
      <c r="BP934" s="75"/>
      <c r="BQ934" s="75"/>
      <c r="BR934" s="75"/>
      <c r="BS934" s="75"/>
    </row>
    <row r="935" ht="15.75" customHeight="1">
      <c r="A935" s="106"/>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75"/>
      <c r="BI935" s="75"/>
      <c r="BJ935" s="75"/>
      <c r="BK935" s="75"/>
      <c r="BL935" s="75"/>
      <c r="BM935" s="75"/>
      <c r="BN935" s="75"/>
      <c r="BO935" s="75"/>
      <c r="BP935" s="75"/>
      <c r="BQ935" s="75"/>
      <c r="BR935" s="75"/>
      <c r="BS935" s="75"/>
    </row>
    <row r="936" ht="15.75" customHeight="1">
      <c r="A936" s="106"/>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c r="BJ936" s="75"/>
      <c r="BK936" s="75"/>
      <c r="BL936" s="75"/>
      <c r="BM936" s="75"/>
      <c r="BN936" s="75"/>
      <c r="BO936" s="75"/>
      <c r="BP936" s="75"/>
      <c r="BQ936" s="75"/>
      <c r="BR936" s="75"/>
      <c r="BS936" s="75"/>
    </row>
    <row r="937" ht="15.75" customHeight="1">
      <c r="A937" s="106"/>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c r="BJ937" s="75"/>
      <c r="BK937" s="75"/>
      <c r="BL937" s="75"/>
      <c r="BM937" s="75"/>
      <c r="BN937" s="75"/>
      <c r="BO937" s="75"/>
      <c r="BP937" s="75"/>
      <c r="BQ937" s="75"/>
      <c r="BR937" s="75"/>
      <c r="BS937" s="75"/>
    </row>
    <row r="938" ht="15.75" customHeight="1">
      <c r="A938" s="106"/>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c r="BJ938" s="75"/>
      <c r="BK938" s="75"/>
      <c r="BL938" s="75"/>
      <c r="BM938" s="75"/>
      <c r="BN938" s="75"/>
      <c r="BO938" s="75"/>
      <c r="BP938" s="75"/>
      <c r="BQ938" s="75"/>
      <c r="BR938" s="75"/>
      <c r="BS938" s="75"/>
    </row>
    <row r="939" ht="15.75" customHeight="1">
      <c r="A939" s="106"/>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c r="BJ939" s="75"/>
      <c r="BK939" s="75"/>
      <c r="BL939" s="75"/>
      <c r="BM939" s="75"/>
      <c r="BN939" s="75"/>
      <c r="BO939" s="75"/>
      <c r="BP939" s="75"/>
      <c r="BQ939" s="75"/>
      <c r="BR939" s="75"/>
      <c r="BS939" s="75"/>
    </row>
    <row r="940" ht="15.75" customHeight="1">
      <c r="A940" s="106"/>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75"/>
      <c r="BI940" s="75"/>
      <c r="BJ940" s="75"/>
      <c r="BK940" s="75"/>
      <c r="BL940" s="75"/>
      <c r="BM940" s="75"/>
      <c r="BN940" s="75"/>
      <c r="BO940" s="75"/>
      <c r="BP940" s="75"/>
      <c r="BQ940" s="75"/>
      <c r="BR940" s="75"/>
      <c r="BS940" s="75"/>
    </row>
    <row r="941" ht="15.75" customHeight="1">
      <c r="A941" s="106"/>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c r="BK941" s="75"/>
      <c r="BL941" s="75"/>
      <c r="BM941" s="75"/>
      <c r="BN941" s="75"/>
      <c r="BO941" s="75"/>
      <c r="BP941" s="75"/>
      <c r="BQ941" s="75"/>
      <c r="BR941" s="75"/>
      <c r="BS941" s="75"/>
    </row>
    <row r="942" ht="15.75" customHeight="1">
      <c r="A942" s="106"/>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c r="BK942" s="75"/>
      <c r="BL942" s="75"/>
      <c r="BM942" s="75"/>
      <c r="BN942" s="75"/>
      <c r="BO942" s="75"/>
      <c r="BP942" s="75"/>
      <c r="BQ942" s="75"/>
      <c r="BR942" s="75"/>
      <c r="BS942" s="75"/>
    </row>
    <row r="943" ht="15.75" customHeight="1">
      <c r="A943" s="106"/>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c r="BK943" s="75"/>
      <c r="BL943" s="75"/>
      <c r="BM943" s="75"/>
      <c r="BN943" s="75"/>
      <c r="BO943" s="75"/>
      <c r="BP943" s="75"/>
      <c r="BQ943" s="75"/>
      <c r="BR943" s="75"/>
      <c r="BS943" s="75"/>
    </row>
    <row r="944" ht="15.75" customHeight="1">
      <c r="A944" s="106"/>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c r="BJ944" s="75"/>
      <c r="BK944" s="75"/>
      <c r="BL944" s="75"/>
      <c r="BM944" s="75"/>
      <c r="BN944" s="75"/>
      <c r="BO944" s="75"/>
      <c r="BP944" s="75"/>
      <c r="BQ944" s="75"/>
      <c r="BR944" s="75"/>
      <c r="BS944" s="75"/>
    </row>
    <row r="945" ht="15.75" customHeight="1">
      <c r="A945" s="106"/>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c r="BJ945" s="75"/>
      <c r="BK945" s="75"/>
      <c r="BL945" s="75"/>
      <c r="BM945" s="75"/>
      <c r="BN945" s="75"/>
      <c r="BO945" s="75"/>
      <c r="BP945" s="75"/>
      <c r="BQ945" s="75"/>
      <c r="BR945" s="75"/>
      <c r="BS945" s="75"/>
    </row>
    <row r="946" ht="15.75" customHeight="1">
      <c r="A946" s="106"/>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c r="BK946" s="75"/>
      <c r="BL946" s="75"/>
      <c r="BM946" s="75"/>
      <c r="BN946" s="75"/>
      <c r="BO946" s="75"/>
      <c r="BP946" s="75"/>
      <c r="BQ946" s="75"/>
      <c r="BR946" s="75"/>
      <c r="BS946" s="75"/>
    </row>
    <row r="947" ht="15.75" customHeight="1">
      <c r="A947" s="106"/>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c r="BK947" s="75"/>
      <c r="BL947" s="75"/>
      <c r="BM947" s="75"/>
      <c r="BN947" s="75"/>
      <c r="BO947" s="75"/>
      <c r="BP947" s="75"/>
      <c r="BQ947" s="75"/>
      <c r="BR947" s="75"/>
      <c r="BS947" s="75"/>
    </row>
    <row r="948" ht="15.75" customHeight="1">
      <c r="A948" s="106"/>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c r="BK948" s="75"/>
      <c r="BL948" s="75"/>
      <c r="BM948" s="75"/>
      <c r="BN948" s="75"/>
      <c r="BO948" s="75"/>
      <c r="BP948" s="75"/>
      <c r="BQ948" s="75"/>
      <c r="BR948" s="75"/>
      <c r="BS948" s="75"/>
    </row>
    <row r="949" ht="15.75" customHeight="1">
      <c r="A949" s="106"/>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c r="BJ949" s="75"/>
      <c r="BK949" s="75"/>
      <c r="BL949" s="75"/>
      <c r="BM949" s="75"/>
      <c r="BN949" s="75"/>
      <c r="BO949" s="75"/>
      <c r="BP949" s="75"/>
      <c r="BQ949" s="75"/>
      <c r="BR949" s="75"/>
      <c r="BS949" s="75"/>
    </row>
    <row r="950" ht="15.75" customHeight="1">
      <c r="A950" s="106"/>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c r="BJ950" s="75"/>
      <c r="BK950" s="75"/>
      <c r="BL950" s="75"/>
      <c r="BM950" s="75"/>
      <c r="BN950" s="75"/>
      <c r="BO950" s="75"/>
      <c r="BP950" s="75"/>
      <c r="BQ950" s="75"/>
      <c r="BR950" s="75"/>
      <c r="BS950" s="75"/>
    </row>
    <row r="951" ht="15.75" customHeight="1">
      <c r="A951" s="106"/>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c r="BK951" s="75"/>
      <c r="BL951" s="75"/>
      <c r="BM951" s="75"/>
      <c r="BN951" s="75"/>
      <c r="BO951" s="75"/>
      <c r="BP951" s="75"/>
      <c r="BQ951" s="75"/>
      <c r="BR951" s="75"/>
      <c r="BS951" s="75"/>
    </row>
    <row r="952" ht="15.75" customHeight="1">
      <c r="A952" s="106"/>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c r="BK952" s="75"/>
      <c r="BL952" s="75"/>
      <c r="BM952" s="75"/>
      <c r="BN952" s="75"/>
      <c r="BO952" s="75"/>
      <c r="BP952" s="75"/>
      <c r="BQ952" s="75"/>
      <c r="BR952" s="75"/>
      <c r="BS952" s="75"/>
    </row>
    <row r="953" ht="15.75" customHeight="1">
      <c r="A953" s="106"/>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c r="BJ953" s="75"/>
      <c r="BK953" s="75"/>
      <c r="BL953" s="75"/>
      <c r="BM953" s="75"/>
      <c r="BN953" s="75"/>
      <c r="BO953" s="75"/>
      <c r="BP953" s="75"/>
      <c r="BQ953" s="75"/>
      <c r="BR953" s="75"/>
      <c r="BS953" s="75"/>
    </row>
    <row r="954" ht="15.75" customHeight="1">
      <c r="A954" s="106"/>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c r="BJ954" s="75"/>
      <c r="BK954" s="75"/>
      <c r="BL954" s="75"/>
      <c r="BM954" s="75"/>
      <c r="BN954" s="75"/>
      <c r="BO954" s="75"/>
      <c r="BP954" s="75"/>
      <c r="BQ954" s="75"/>
      <c r="BR954" s="75"/>
      <c r="BS954" s="75"/>
    </row>
    <row r="955" ht="15.75" customHeight="1">
      <c r="A955" s="106"/>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c r="BJ955" s="75"/>
      <c r="BK955" s="75"/>
      <c r="BL955" s="75"/>
      <c r="BM955" s="75"/>
      <c r="BN955" s="75"/>
      <c r="BO955" s="75"/>
      <c r="BP955" s="75"/>
      <c r="BQ955" s="75"/>
      <c r="BR955" s="75"/>
      <c r="BS955" s="75"/>
    </row>
    <row r="956" ht="15.75" customHeight="1">
      <c r="A956" s="106"/>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c r="BJ956" s="75"/>
      <c r="BK956" s="75"/>
      <c r="BL956" s="75"/>
      <c r="BM956" s="75"/>
      <c r="BN956" s="75"/>
      <c r="BO956" s="75"/>
      <c r="BP956" s="75"/>
      <c r="BQ956" s="75"/>
      <c r="BR956" s="75"/>
      <c r="BS956" s="75"/>
    </row>
    <row r="957" ht="15.75" customHeight="1">
      <c r="A957" s="106"/>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c r="BK957" s="75"/>
      <c r="BL957" s="75"/>
      <c r="BM957" s="75"/>
      <c r="BN957" s="75"/>
      <c r="BO957" s="75"/>
      <c r="BP957" s="75"/>
      <c r="BQ957" s="75"/>
      <c r="BR957" s="75"/>
      <c r="BS957" s="75"/>
    </row>
    <row r="958" ht="15.75" customHeight="1">
      <c r="A958" s="106"/>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c r="BK958" s="75"/>
      <c r="BL958" s="75"/>
      <c r="BM958" s="75"/>
      <c r="BN958" s="75"/>
      <c r="BO958" s="75"/>
      <c r="BP958" s="75"/>
      <c r="BQ958" s="75"/>
      <c r="BR958" s="75"/>
      <c r="BS958" s="75"/>
    </row>
    <row r="959" ht="15.75" customHeight="1">
      <c r="A959" s="106"/>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c r="BK959" s="75"/>
      <c r="BL959" s="75"/>
      <c r="BM959" s="75"/>
      <c r="BN959" s="75"/>
      <c r="BO959" s="75"/>
      <c r="BP959" s="75"/>
      <c r="BQ959" s="75"/>
      <c r="BR959" s="75"/>
      <c r="BS959" s="75"/>
    </row>
    <row r="960" ht="15.75" customHeight="1">
      <c r="A960" s="106"/>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c r="BK960" s="75"/>
      <c r="BL960" s="75"/>
      <c r="BM960" s="75"/>
      <c r="BN960" s="75"/>
      <c r="BO960" s="75"/>
      <c r="BP960" s="75"/>
      <c r="BQ960" s="75"/>
      <c r="BR960" s="75"/>
      <c r="BS960" s="75"/>
    </row>
    <row r="961" ht="15.75" customHeight="1">
      <c r="A961" s="106"/>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c r="BK961" s="75"/>
      <c r="BL961" s="75"/>
      <c r="BM961" s="75"/>
      <c r="BN961" s="75"/>
      <c r="BO961" s="75"/>
      <c r="BP961" s="75"/>
      <c r="BQ961" s="75"/>
      <c r="BR961" s="75"/>
      <c r="BS961" s="75"/>
    </row>
    <row r="962" ht="15.75" customHeight="1">
      <c r="A962" s="106"/>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c r="BK962" s="75"/>
      <c r="BL962" s="75"/>
      <c r="BM962" s="75"/>
      <c r="BN962" s="75"/>
      <c r="BO962" s="75"/>
      <c r="BP962" s="75"/>
      <c r="BQ962" s="75"/>
      <c r="BR962" s="75"/>
      <c r="BS962" s="75"/>
    </row>
    <row r="963" ht="15.75" customHeight="1">
      <c r="A963" s="106"/>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c r="BK963" s="75"/>
      <c r="BL963" s="75"/>
      <c r="BM963" s="75"/>
      <c r="BN963" s="75"/>
      <c r="BO963" s="75"/>
      <c r="BP963" s="75"/>
      <c r="BQ963" s="75"/>
      <c r="BR963" s="75"/>
      <c r="BS963" s="75"/>
    </row>
    <row r="964" ht="15.75" customHeight="1">
      <c r="A964" s="106"/>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c r="BK964" s="75"/>
      <c r="BL964" s="75"/>
      <c r="BM964" s="75"/>
      <c r="BN964" s="75"/>
      <c r="BO964" s="75"/>
      <c r="BP964" s="75"/>
      <c r="BQ964" s="75"/>
      <c r="BR964" s="75"/>
      <c r="BS964" s="75"/>
    </row>
    <row r="965" ht="15.75" customHeight="1">
      <c r="A965" s="106"/>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c r="BK965" s="75"/>
      <c r="BL965" s="75"/>
      <c r="BM965" s="75"/>
      <c r="BN965" s="75"/>
      <c r="BO965" s="75"/>
      <c r="BP965" s="75"/>
      <c r="BQ965" s="75"/>
      <c r="BR965" s="75"/>
      <c r="BS965" s="75"/>
    </row>
    <row r="966" ht="15.75" customHeight="1">
      <c r="A966" s="106"/>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c r="BK966" s="75"/>
      <c r="BL966" s="75"/>
      <c r="BM966" s="75"/>
      <c r="BN966" s="75"/>
      <c r="BO966" s="75"/>
      <c r="BP966" s="75"/>
      <c r="BQ966" s="75"/>
      <c r="BR966" s="75"/>
      <c r="BS966" s="75"/>
    </row>
    <row r="967" ht="15.75" customHeight="1">
      <c r="A967" s="106"/>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c r="BK967" s="75"/>
      <c r="BL967" s="75"/>
      <c r="BM967" s="75"/>
      <c r="BN967" s="75"/>
      <c r="BO967" s="75"/>
      <c r="BP967" s="75"/>
      <c r="BQ967" s="75"/>
      <c r="BR967" s="75"/>
      <c r="BS967" s="75"/>
    </row>
    <row r="968" ht="15.75" customHeight="1">
      <c r="A968" s="106"/>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c r="BK968" s="75"/>
      <c r="BL968" s="75"/>
      <c r="BM968" s="75"/>
      <c r="BN968" s="75"/>
      <c r="BO968" s="75"/>
      <c r="BP968" s="75"/>
      <c r="BQ968" s="75"/>
      <c r="BR968" s="75"/>
      <c r="BS968" s="75"/>
    </row>
    <row r="969" ht="15.75" customHeight="1">
      <c r="A969" s="106"/>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c r="BK969" s="75"/>
      <c r="BL969" s="75"/>
      <c r="BM969" s="75"/>
      <c r="BN969" s="75"/>
      <c r="BO969" s="75"/>
      <c r="BP969" s="75"/>
      <c r="BQ969" s="75"/>
      <c r="BR969" s="75"/>
      <c r="BS969" s="75"/>
    </row>
    <row r="970" ht="15.75" customHeight="1">
      <c r="A970" s="106"/>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c r="BK970" s="75"/>
      <c r="BL970" s="75"/>
      <c r="BM970" s="75"/>
      <c r="BN970" s="75"/>
      <c r="BO970" s="75"/>
      <c r="BP970" s="75"/>
      <c r="BQ970" s="75"/>
      <c r="BR970" s="75"/>
      <c r="BS970" s="75"/>
    </row>
    <row r="971" ht="15.75" customHeight="1">
      <c r="A971" s="106"/>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c r="BK971" s="75"/>
      <c r="BL971" s="75"/>
      <c r="BM971" s="75"/>
      <c r="BN971" s="75"/>
      <c r="BO971" s="75"/>
      <c r="BP971" s="75"/>
      <c r="BQ971" s="75"/>
      <c r="BR971" s="75"/>
      <c r="BS971" s="75"/>
    </row>
    <row r="972" ht="15.75" customHeight="1">
      <c r="A972" s="106"/>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c r="BK972" s="75"/>
      <c r="BL972" s="75"/>
      <c r="BM972" s="75"/>
      <c r="BN972" s="75"/>
      <c r="BO972" s="75"/>
      <c r="BP972" s="75"/>
      <c r="BQ972" s="75"/>
      <c r="BR972" s="75"/>
      <c r="BS972" s="75"/>
    </row>
    <row r="973" ht="15.75" customHeight="1">
      <c r="A973" s="106"/>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c r="BK973" s="75"/>
      <c r="BL973" s="75"/>
      <c r="BM973" s="75"/>
      <c r="BN973" s="75"/>
      <c r="BO973" s="75"/>
      <c r="BP973" s="75"/>
      <c r="BQ973" s="75"/>
      <c r="BR973" s="75"/>
      <c r="BS973" s="75"/>
    </row>
    <row r="974" ht="15.75" customHeight="1">
      <c r="A974" s="106"/>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c r="BK974" s="75"/>
      <c r="BL974" s="75"/>
      <c r="BM974" s="75"/>
      <c r="BN974" s="75"/>
      <c r="BO974" s="75"/>
      <c r="BP974" s="75"/>
      <c r="BQ974" s="75"/>
      <c r="BR974" s="75"/>
      <c r="BS974" s="75"/>
    </row>
    <row r="975" ht="15.75" customHeight="1">
      <c r="A975" s="106"/>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c r="BK975" s="75"/>
      <c r="BL975" s="75"/>
      <c r="BM975" s="75"/>
      <c r="BN975" s="75"/>
      <c r="BO975" s="75"/>
      <c r="BP975" s="75"/>
      <c r="BQ975" s="75"/>
      <c r="BR975" s="75"/>
      <c r="BS975" s="75"/>
    </row>
    <row r="976" ht="15.75" customHeight="1">
      <c r="A976" s="106"/>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c r="BK976" s="75"/>
      <c r="BL976" s="75"/>
      <c r="BM976" s="75"/>
      <c r="BN976" s="75"/>
      <c r="BO976" s="75"/>
      <c r="BP976" s="75"/>
      <c r="BQ976" s="75"/>
      <c r="BR976" s="75"/>
      <c r="BS976" s="75"/>
    </row>
    <row r="977" ht="15.75" customHeight="1">
      <c r="A977" s="106"/>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c r="BK977" s="75"/>
      <c r="BL977" s="75"/>
      <c r="BM977" s="75"/>
      <c r="BN977" s="75"/>
      <c r="BO977" s="75"/>
      <c r="BP977" s="75"/>
      <c r="BQ977" s="75"/>
      <c r="BR977" s="75"/>
      <c r="BS977" s="75"/>
    </row>
    <row r="978" ht="15.75" customHeight="1">
      <c r="A978" s="106"/>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c r="BK978" s="75"/>
      <c r="BL978" s="75"/>
      <c r="BM978" s="75"/>
      <c r="BN978" s="75"/>
      <c r="BO978" s="75"/>
      <c r="BP978" s="75"/>
      <c r="BQ978" s="75"/>
      <c r="BR978" s="75"/>
      <c r="BS978" s="75"/>
    </row>
    <row r="979" ht="15.75" customHeight="1">
      <c r="A979" s="106"/>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c r="BK979" s="75"/>
      <c r="BL979" s="75"/>
      <c r="BM979" s="75"/>
      <c r="BN979" s="75"/>
      <c r="BO979" s="75"/>
      <c r="BP979" s="75"/>
      <c r="BQ979" s="75"/>
      <c r="BR979" s="75"/>
      <c r="BS979" s="75"/>
    </row>
    <row r="980" ht="15.75" customHeight="1">
      <c r="A980" s="106"/>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c r="BK980" s="75"/>
      <c r="BL980" s="75"/>
      <c r="BM980" s="75"/>
      <c r="BN980" s="75"/>
      <c r="BO980" s="75"/>
      <c r="BP980" s="75"/>
      <c r="BQ980" s="75"/>
      <c r="BR980" s="75"/>
      <c r="BS980" s="75"/>
    </row>
    <row r="981" ht="15.75" customHeight="1">
      <c r="A981" s="106"/>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c r="BK981" s="75"/>
      <c r="BL981" s="75"/>
      <c r="BM981" s="75"/>
      <c r="BN981" s="75"/>
      <c r="BO981" s="75"/>
      <c r="BP981" s="75"/>
      <c r="BQ981" s="75"/>
      <c r="BR981" s="75"/>
      <c r="BS981" s="75"/>
    </row>
    <row r="982" ht="15.75" customHeight="1">
      <c r="A982" s="106"/>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c r="BK982" s="75"/>
      <c r="BL982" s="75"/>
      <c r="BM982" s="75"/>
      <c r="BN982" s="75"/>
      <c r="BO982" s="75"/>
      <c r="BP982" s="75"/>
      <c r="BQ982" s="75"/>
      <c r="BR982" s="75"/>
      <c r="BS982" s="75"/>
    </row>
    <row r="983" ht="15.75" customHeight="1">
      <c r="A983" s="106"/>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c r="BK983" s="75"/>
      <c r="BL983" s="75"/>
      <c r="BM983" s="75"/>
      <c r="BN983" s="75"/>
      <c r="BO983" s="75"/>
      <c r="BP983" s="75"/>
      <c r="BQ983" s="75"/>
      <c r="BR983" s="75"/>
      <c r="BS983" s="75"/>
    </row>
    <row r="984" ht="15.75" customHeight="1">
      <c r="A984" s="106"/>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c r="BK984" s="75"/>
      <c r="BL984" s="75"/>
      <c r="BM984" s="75"/>
      <c r="BN984" s="75"/>
      <c r="BO984" s="75"/>
      <c r="BP984" s="75"/>
      <c r="BQ984" s="75"/>
      <c r="BR984" s="75"/>
      <c r="BS984" s="75"/>
    </row>
    <row r="985" ht="15.75" customHeight="1">
      <c r="A985" s="106"/>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c r="BK985" s="75"/>
      <c r="BL985" s="75"/>
      <c r="BM985" s="75"/>
      <c r="BN985" s="75"/>
      <c r="BO985" s="75"/>
      <c r="BP985" s="75"/>
      <c r="BQ985" s="75"/>
      <c r="BR985" s="75"/>
      <c r="BS985" s="75"/>
    </row>
    <row r="986" ht="15.75" customHeight="1">
      <c r="A986" s="106"/>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c r="BK986" s="75"/>
      <c r="BL986" s="75"/>
      <c r="BM986" s="75"/>
      <c r="BN986" s="75"/>
      <c r="BO986" s="75"/>
      <c r="BP986" s="75"/>
      <c r="BQ986" s="75"/>
      <c r="BR986" s="75"/>
      <c r="BS986" s="75"/>
    </row>
    <row r="987" ht="15.75" customHeight="1">
      <c r="A987" s="106"/>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c r="BK987" s="75"/>
      <c r="BL987" s="75"/>
      <c r="BM987" s="75"/>
      <c r="BN987" s="75"/>
      <c r="BO987" s="75"/>
      <c r="BP987" s="75"/>
      <c r="BQ987" s="75"/>
      <c r="BR987" s="75"/>
      <c r="BS987" s="75"/>
    </row>
    <row r="988" ht="15.75" customHeight="1">
      <c r="A988" s="106"/>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c r="BK988" s="75"/>
      <c r="BL988" s="75"/>
      <c r="BM988" s="75"/>
      <c r="BN988" s="75"/>
      <c r="BO988" s="75"/>
      <c r="BP988" s="75"/>
      <c r="BQ988" s="75"/>
      <c r="BR988" s="75"/>
      <c r="BS988" s="75"/>
    </row>
    <row r="989" ht="15.75" customHeight="1">
      <c r="A989" s="106"/>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c r="BK989" s="75"/>
      <c r="BL989" s="75"/>
      <c r="BM989" s="75"/>
      <c r="BN989" s="75"/>
      <c r="BO989" s="75"/>
      <c r="BP989" s="75"/>
      <c r="BQ989" s="75"/>
      <c r="BR989" s="75"/>
      <c r="BS989" s="75"/>
    </row>
    <row r="990" ht="15.75" customHeight="1">
      <c r="A990" s="106"/>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c r="BK990" s="75"/>
      <c r="BL990" s="75"/>
      <c r="BM990" s="75"/>
      <c r="BN990" s="75"/>
      <c r="BO990" s="75"/>
      <c r="BP990" s="75"/>
      <c r="BQ990" s="75"/>
      <c r="BR990" s="75"/>
      <c r="BS990" s="75"/>
    </row>
    <row r="991" ht="15.75" customHeight="1">
      <c r="A991" s="106"/>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c r="BK991" s="75"/>
      <c r="BL991" s="75"/>
      <c r="BM991" s="75"/>
      <c r="BN991" s="75"/>
      <c r="BO991" s="75"/>
      <c r="BP991" s="75"/>
      <c r="BQ991" s="75"/>
      <c r="BR991" s="75"/>
      <c r="BS991" s="75"/>
    </row>
    <row r="992" ht="15.75" customHeight="1">
      <c r="A992" s="106"/>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c r="BK992" s="75"/>
      <c r="BL992" s="75"/>
      <c r="BM992" s="75"/>
      <c r="BN992" s="75"/>
      <c r="BO992" s="75"/>
      <c r="BP992" s="75"/>
      <c r="BQ992" s="75"/>
      <c r="BR992" s="75"/>
      <c r="BS992" s="75"/>
    </row>
    <row r="993" ht="15.75" customHeight="1">
      <c r="A993" s="106"/>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c r="BK993" s="75"/>
      <c r="BL993" s="75"/>
      <c r="BM993" s="75"/>
      <c r="BN993" s="75"/>
      <c r="BO993" s="75"/>
      <c r="BP993" s="75"/>
      <c r="BQ993" s="75"/>
      <c r="BR993" s="75"/>
      <c r="BS993" s="75"/>
    </row>
    <row r="994" ht="15.75" customHeight="1">
      <c r="A994" s="106"/>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c r="BK994" s="75"/>
      <c r="BL994" s="75"/>
      <c r="BM994" s="75"/>
      <c r="BN994" s="75"/>
      <c r="BO994" s="75"/>
      <c r="BP994" s="75"/>
      <c r="BQ994" s="75"/>
      <c r="BR994" s="75"/>
      <c r="BS994" s="75"/>
    </row>
    <row r="995" ht="15.75" customHeight="1">
      <c r="A995" s="106"/>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c r="BK995" s="75"/>
      <c r="BL995" s="75"/>
      <c r="BM995" s="75"/>
      <c r="BN995" s="75"/>
      <c r="BO995" s="75"/>
      <c r="BP995" s="75"/>
      <c r="BQ995" s="75"/>
      <c r="BR995" s="75"/>
      <c r="BS995" s="75"/>
    </row>
    <row r="996" ht="15.75" customHeight="1">
      <c r="A996" s="106"/>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c r="BK996" s="75"/>
      <c r="BL996" s="75"/>
      <c r="BM996" s="75"/>
      <c r="BN996" s="75"/>
      <c r="BO996" s="75"/>
      <c r="BP996" s="75"/>
      <c r="BQ996" s="75"/>
      <c r="BR996" s="75"/>
      <c r="BS996" s="75"/>
    </row>
    <row r="997" ht="15.75" customHeight="1">
      <c r="A997" s="106"/>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c r="BK997" s="75"/>
      <c r="BL997" s="75"/>
      <c r="BM997" s="75"/>
      <c r="BN997" s="75"/>
      <c r="BO997" s="75"/>
      <c r="BP997" s="75"/>
      <c r="BQ997" s="75"/>
      <c r="BR997" s="75"/>
      <c r="BS997" s="75"/>
    </row>
    <row r="998" ht="15.75" customHeight="1">
      <c r="A998" s="106"/>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c r="BK998" s="75"/>
      <c r="BL998" s="75"/>
      <c r="BM998" s="75"/>
      <c r="BN998" s="75"/>
      <c r="BO998" s="75"/>
      <c r="BP998" s="75"/>
      <c r="BQ998" s="75"/>
      <c r="BR998" s="75"/>
      <c r="BS998" s="75"/>
    </row>
    <row r="999" ht="15.75" customHeight="1">
      <c r="A999" s="106"/>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c r="BK999" s="75"/>
      <c r="BL999" s="75"/>
      <c r="BM999" s="75"/>
      <c r="BN999" s="75"/>
      <c r="BO999" s="75"/>
      <c r="BP999" s="75"/>
      <c r="BQ999" s="75"/>
      <c r="BR999" s="75"/>
      <c r="BS999" s="75"/>
    </row>
    <row r="1000" ht="15.75" customHeight="1">
      <c r="A1000" s="106"/>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c r="BK1000" s="75"/>
      <c r="BL1000" s="75"/>
      <c r="BM1000" s="75"/>
      <c r="BN1000" s="75"/>
      <c r="BO1000" s="75"/>
      <c r="BP1000" s="75"/>
      <c r="BQ1000" s="75"/>
      <c r="BR1000" s="75"/>
      <c r="BS1000" s="75"/>
    </row>
  </sheetData>
  <mergeCells count="2">
    <mergeCell ref="B247:C247"/>
    <mergeCell ref="B271:C271"/>
  </mergeCells>
  <hyperlinks>
    <hyperlink display="Profit &amp; Loss" location="Nav_PL" ref="B10"/>
    <hyperlink display="Balance Sheet" location="Nav_BS" ref="B11"/>
    <hyperlink display="Working Capital" location="Nav_WC" ref="C11"/>
    <hyperlink display="Breakeven" location="Nav_Breakeven" ref="D11"/>
    <hyperlink display="Cash Flow" location="Nav_CF" ref="B12"/>
    <hyperlink display="Debt" location="Nav_Debt" ref="C12"/>
    <hyperlink display="ROI" location="Nav_ROI" ref="D12"/>
    <hyperlink display="Corporation Tax" location="Nav_CT" ref="B13"/>
    <hyperlink display="Capex" location="Nav_Capex" ref="C13"/>
    <hyperlink display="Valuation" location="Nav_Valuation" ref="D13"/>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6.14"/>
    <col customWidth="1" min="2" max="2" width="12.71"/>
    <col customWidth="1" min="3" max="3" width="1.71"/>
    <col customWidth="1" min="4" max="4" width="30.71"/>
    <col customWidth="1" min="5" max="5" width="1.71"/>
    <col customWidth="1" min="6" max="6" width="12.71"/>
    <col customWidth="1" min="7" max="7" width="1.71"/>
    <col customWidth="1" min="8" max="8" width="26.29"/>
    <col customWidth="1" min="9" max="9" width="1.71"/>
    <col customWidth="1" min="10" max="26" width="9.14"/>
  </cols>
  <sheetData>
    <row r="1" ht="30.0" customHeight="1">
      <c r="A1" s="348"/>
      <c r="B1" s="349" t="s">
        <v>391</v>
      </c>
      <c r="C1" s="348"/>
      <c r="D1" s="348"/>
      <c r="E1" s="348"/>
      <c r="F1" s="348"/>
      <c r="G1" s="348"/>
      <c r="H1" s="348"/>
      <c r="I1" s="348"/>
      <c r="J1" s="348"/>
      <c r="K1" s="348"/>
      <c r="L1" s="348"/>
      <c r="M1" s="348"/>
      <c r="N1" s="348"/>
      <c r="O1" s="348"/>
      <c r="P1" s="348"/>
      <c r="Q1" s="348"/>
      <c r="R1" s="348"/>
      <c r="S1" s="348"/>
      <c r="T1" s="348"/>
      <c r="U1" s="348"/>
      <c r="V1" s="348"/>
      <c r="W1" s="348"/>
      <c r="X1" s="348"/>
      <c r="Y1" s="348"/>
      <c r="Z1" s="348"/>
    </row>
    <row r="2" ht="7.5" customHeight="1">
      <c r="A2" s="348"/>
      <c r="B2" s="348"/>
      <c r="C2" s="348"/>
      <c r="D2" s="348"/>
      <c r="E2" s="348"/>
      <c r="F2" s="348"/>
      <c r="G2" s="348"/>
      <c r="H2" s="348"/>
      <c r="I2" s="348"/>
      <c r="J2" s="348"/>
      <c r="K2" s="348"/>
      <c r="L2" s="348"/>
      <c r="M2" s="348"/>
      <c r="N2" s="348"/>
      <c r="O2" s="348"/>
      <c r="P2" s="348"/>
      <c r="Q2" s="348"/>
      <c r="R2" s="348"/>
      <c r="S2" s="348"/>
      <c r="T2" s="348"/>
      <c r="U2" s="348"/>
      <c r="V2" s="348"/>
      <c r="W2" s="348"/>
      <c r="X2" s="348"/>
      <c r="Y2" s="348"/>
      <c r="Z2" s="348"/>
    </row>
    <row r="3" ht="12.0" customHeight="1">
      <c r="A3" s="348"/>
      <c r="B3" s="348"/>
      <c r="C3" s="348"/>
      <c r="D3" s="348"/>
      <c r="E3" s="348"/>
      <c r="F3" s="348"/>
      <c r="G3" s="348"/>
      <c r="H3" s="348"/>
      <c r="I3" s="348"/>
      <c r="J3" s="348"/>
      <c r="K3" s="348"/>
      <c r="L3" s="348"/>
      <c r="M3" s="348"/>
      <c r="N3" s="348"/>
      <c r="O3" s="348"/>
      <c r="P3" s="348"/>
      <c r="Q3" s="348"/>
      <c r="R3" s="348"/>
      <c r="S3" s="348"/>
      <c r="T3" s="348"/>
      <c r="U3" s="348"/>
      <c r="V3" s="348"/>
      <c r="W3" s="348"/>
      <c r="X3" s="348"/>
      <c r="Y3" s="348"/>
      <c r="Z3" s="348"/>
    </row>
    <row r="4" ht="12.0" customHeight="1">
      <c r="A4" s="348"/>
      <c r="B4" s="350" t="s">
        <v>392</v>
      </c>
      <c r="C4" s="348"/>
      <c r="D4" s="351" t="s">
        <v>393</v>
      </c>
      <c r="E4" s="348"/>
      <c r="F4" s="350" t="s">
        <v>394</v>
      </c>
      <c r="G4" s="348"/>
      <c r="H4" s="244"/>
      <c r="I4" s="348"/>
      <c r="J4" s="348"/>
      <c r="K4" s="348"/>
      <c r="L4" s="348"/>
      <c r="M4" s="348"/>
      <c r="N4" s="348"/>
      <c r="O4" s="348"/>
      <c r="P4" s="348"/>
      <c r="Q4" s="348"/>
      <c r="R4" s="348"/>
      <c r="S4" s="348"/>
      <c r="T4" s="348"/>
      <c r="U4" s="348"/>
      <c r="V4" s="348"/>
      <c r="W4" s="348"/>
      <c r="X4" s="348"/>
      <c r="Y4" s="348"/>
      <c r="Z4" s="348"/>
    </row>
    <row r="5" ht="12.0" customHeight="1">
      <c r="A5" s="348"/>
      <c r="B5" s="350" t="s">
        <v>395</v>
      </c>
      <c r="C5" s="348"/>
      <c r="D5" s="351"/>
      <c r="E5" s="348"/>
      <c r="F5" s="350" t="s">
        <v>396</v>
      </c>
      <c r="G5" s="348"/>
      <c r="H5" s="244" t="s">
        <v>397</v>
      </c>
      <c r="I5" s="348"/>
      <c r="J5" s="348"/>
      <c r="K5" s="348"/>
      <c r="L5" s="348"/>
      <c r="M5" s="348"/>
      <c r="N5" s="348"/>
      <c r="O5" s="348"/>
      <c r="P5" s="348"/>
      <c r="Q5" s="348"/>
      <c r="R5" s="348"/>
      <c r="S5" s="348"/>
      <c r="T5" s="348"/>
      <c r="U5" s="348"/>
      <c r="V5" s="348"/>
      <c r="W5" s="348"/>
      <c r="X5" s="348"/>
      <c r="Y5" s="348"/>
      <c r="Z5" s="348"/>
    </row>
    <row r="6" ht="12.0" customHeight="1">
      <c r="A6" s="348"/>
      <c r="B6" s="348"/>
      <c r="C6" s="348"/>
      <c r="D6" s="348"/>
      <c r="E6" s="348"/>
      <c r="F6" s="348"/>
      <c r="G6" s="348"/>
      <c r="H6" s="348"/>
      <c r="I6" s="348"/>
      <c r="J6" s="348"/>
      <c r="K6" s="348"/>
      <c r="L6" s="348"/>
      <c r="M6" s="348"/>
      <c r="N6" s="348"/>
      <c r="O6" s="348"/>
      <c r="P6" s="348"/>
      <c r="Q6" s="348"/>
      <c r="R6" s="348"/>
      <c r="S6" s="348"/>
      <c r="T6" s="348"/>
      <c r="U6" s="348"/>
      <c r="V6" s="348"/>
      <c r="W6" s="348"/>
      <c r="X6" s="348"/>
      <c r="Y6" s="348"/>
      <c r="Z6" s="348"/>
    </row>
    <row r="7" ht="19.5" customHeight="1">
      <c r="A7" s="348"/>
      <c r="B7" s="352" t="s">
        <v>398</v>
      </c>
      <c r="C7" s="348"/>
      <c r="D7" s="348"/>
      <c r="E7" s="348"/>
      <c r="F7" s="352" t="s">
        <v>399</v>
      </c>
      <c r="G7" s="348"/>
      <c r="H7" s="348"/>
      <c r="I7" s="348"/>
      <c r="J7" s="348"/>
      <c r="K7" s="348"/>
      <c r="L7" s="348"/>
      <c r="M7" s="348"/>
      <c r="N7" s="348"/>
      <c r="O7" s="348"/>
      <c r="P7" s="348"/>
      <c r="Q7" s="348"/>
      <c r="R7" s="348"/>
      <c r="S7" s="348"/>
      <c r="T7" s="348"/>
      <c r="U7" s="348"/>
      <c r="V7" s="348"/>
      <c r="W7" s="348"/>
      <c r="X7" s="348"/>
      <c r="Y7" s="348"/>
      <c r="Z7" s="348"/>
    </row>
    <row r="8" ht="12.0" customHeight="1">
      <c r="A8" s="348"/>
      <c r="B8" s="348"/>
      <c r="C8" s="348"/>
      <c r="D8" s="348"/>
      <c r="E8" s="348"/>
      <c r="F8" s="348"/>
      <c r="G8" s="348"/>
      <c r="H8" s="348"/>
      <c r="I8" s="348"/>
      <c r="J8" s="348"/>
      <c r="K8" s="348"/>
      <c r="L8" s="348"/>
      <c r="M8" s="348"/>
      <c r="N8" s="348"/>
      <c r="O8" s="348"/>
      <c r="P8" s="348"/>
      <c r="Q8" s="348"/>
      <c r="R8" s="348"/>
      <c r="S8" s="348"/>
      <c r="T8" s="348"/>
      <c r="U8" s="348"/>
      <c r="V8" s="348"/>
      <c r="W8" s="348"/>
      <c r="X8" s="348"/>
      <c r="Y8" s="348"/>
      <c r="Z8" s="348"/>
    </row>
    <row r="9" ht="12.0" customHeight="1">
      <c r="A9" s="348"/>
      <c r="B9" s="353" t="b">
        <f>IF(COUNTIF(B$13:B$1048576,FALSE)&lt;&gt;0,FALSE,TRUE)</f>
        <v>1</v>
      </c>
      <c r="C9" s="348"/>
      <c r="D9" s="354" t="s">
        <v>400</v>
      </c>
      <c r="E9" s="348"/>
      <c r="F9" s="353" t="b">
        <f>IF(COUNTIF(F$13:F$1048576,FALSE)&lt;&gt;0,FALSE,TRUE)</f>
        <v>1</v>
      </c>
      <c r="G9" s="348"/>
      <c r="H9" s="348"/>
      <c r="I9" s="348"/>
      <c r="J9" s="348"/>
      <c r="K9" s="348"/>
      <c r="L9" s="348"/>
      <c r="M9" s="348"/>
      <c r="N9" s="348"/>
      <c r="O9" s="348"/>
      <c r="P9" s="348"/>
      <c r="Q9" s="348"/>
      <c r="R9" s="348"/>
      <c r="S9" s="348"/>
      <c r="T9" s="348"/>
      <c r="U9" s="348"/>
      <c r="V9" s="348"/>
      <c r="W9" s="348"/>
      <c r="X9" s="348"/>
      <c r="Y9" s="348"/>
      <c r="Z9" s="348"/>
    </row>
    <row r="10" ht="12.0" customHeight="1">
      <c r="A10" s="348"/>
      <c r="B10" s="348"/>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row>
    <row r="11" ht="19.5" customHeight="1">
      <c r="A11" s="348"/>
      <c r="B11" s="352" t="s">
        <v>401</v>
      </c>
      <c r="C11" s="348"/>
      <c r="D11" s="348"/>
      <c r="E11" s="348"/>
      <c r="F11" s="352" t="s">
        <v>402</v>
      </c>
      <c r="G11" s="348"/>
      <c r="H11" s="348"/>
      <c r="I11" s="348"/>
      <c r="J11" s="348"/>
      <c r="K11" s="348"/>
      <c r="L11" s="348"/>
      <c r="M11" s="348"/>
      <c r="N11" s="348"/>
      <c r="O11" s="348"/>
      <c r="P11" s="348"/>
      <c r="Q11" s="348"/>
      <c r="R11" s="348"/>
      <c r="S11" s="348"/>
      <c r="T11" s="348"/>
      <c r="U11" s="348"/>
      <c r="V11" s="348"/>
      <c r="W11" s="348"/>
      <c r="X11" s="348"/>
      <c r="Y11" s="348"/>
      <c r="Z11" s="348"/>
    </row>
    <row r="12" ht="12.0" customHeight="1">
      <c r="A12" s="348"/>
      <c r="B12" s="348"/>
      <c r="C12" s="348"/>
      <c r="D12" s="351" t="s">
        <v>403</v>
      </c>
      <c r="E12" s="348"/>
      <c r="F12" s="348"/>
      <c r="G12" s="348"/>
      <c r="H12" s="348"/>
      <c r="I12" s="348"/>
      <c r="J12" s="348"/>
      <c r="K12" s="348"/>
      <c r="L12" s="348"/>
      <c r="M12" s="348"/>
      <c r="N12" s="348"/>
      <c r="O12" s="348"/>
      <c r="P12" s="348"/>
      <c r="Q12" s="348"/>
      <c r="R12" s="348"/>
      <c r="S12" s="348"/>
      <c r="T12" s="348"/>
      <c r="U12" s="348"/>
      <c r="V12" s="348"/>
      <c r="W12" s="348"/>
      <c r="X12" s="348"/>
      <c r="Y12" s="348"/>
      <c r="Z12" s="348"/>
    </row>
    <row r="13" ht="12.0" customHeight="1">
      <c r="A13" s="348"/>
      <c r="B13" s="353" t="b">
        <f>IF(ISERROR(SUM('Input Assumptions'!$1:$1048576)),FALSE,TRUE)</f>
        <v>1</v>
      </c>
      <c r="C13" s="348"/>
      <c r="D13" s="27" t="s">
        <v>404</v>
      </c>
      <c r="E13" s="348"/>
      <c r="F13" s="353" t="b">
        <f>IF((BS_Check)=0,TRUE,FALSE)</f>
        <v>1</v>
      </c>
      <c r="G13" s="348"/>
      <c r="H13" s="348" t="str">
        <f>$J13&amp;" Imbalance Check I"</f>
        <v>Balance Sheet Imbalance Check I</v>
      </c>
      <c r="I13" s="348"/>
      <c r="J13" s="27" t="s">
        <v>61</v>
      </c>
      <c r="K13" s="348"/>
      <c r="L13" s="348"/>
      <c r="M13" s="348"/>
      <c r="N13" s="348"/>
      <c r="O13" s="348"/>
      <c r="P13" s="348"/>
      <c r="Q13" s="348"/>
      <c r="R13" s="348"/>
      <c r="S13" s="348"/>
      <c r="T13" s="348"/>
      <c r="U13" s="348"/>
      <c r="V13" s="348"/>
      <c r="W13" s="348"/>
      <c r="X13" s="348"/>
      <c r="Y13" s="348"/>
      <c r="Z13" s="348"/>
    </row>
    <row r="14" ht="12.0" customHeight="1">
      <c r="A14" s="348"/>
      <c r="B14" s="353" t="b">
        <f>IF(ISERROR(SUM('Summary Financials'!$1:$1048576)),FALSE,TRUE)</f>
        <v>1</v>
      </c>
      <c r="C14" s="348"/>
      <c r="D14" s="27" t="s">
        <v>55</v>
      </c>
      <c r="E14" s="348"/>
      <c r="F14" s="353" t="b">
        <f>IF(('Balance Sheet'!$49:$49)=0,TRUE,FALSE)</f>
        <v>1</v>
      </c>
      <c r="G14" s="348"/>
      <c r="H14" s="348" t="str">
        <f>$J14&amp;" Imbalance Check II"</f>
        <v>Balance Sheet Imbalance Check II</v>
      </c>
      <c r="I14" s="348"/>
      <c r="J14" s="27" t="s">
        <v>61</v>
      </c>
      <c r="K14" s="348"/>
      <c r="L14" s="348"/>
      <c r="M14" s="348"/>
      <c r="N14" s="348"/>
      <c r="O14" s="348"/>
      <c r="P14" s="348"/>
      <c r="Q14" s="348"/>
      <c r="R14" s="348"/>
      <c r="S14" s="348"/>
      <c r="T14" s="348"/>
      <c r="U14" s="348"/>
      <c r="V14" s="348"/>
      <c r="W14" s="348"/>
      <c r="X14" s="348"/>
      <c r="Y14" s="348"/>
      <c r="Z14" s="348"/>
    </row>
    <row r="15" ht="12.0" customHeight="1">
      <c r="A15" s="348"/>
      <c r="B15" s="353" t="b">
        <f>IF(ISERROR(SUM('P&amp;L Statement'!$1:$1048576)),FALSE,TRUE)</f>
        <v>1</v>
      </c>
      <c r="C15" s="348"/>
      <c r="D15" s="27" t="s">
        <v>58</v>
      </c>
      <c r="E15" s="348"/>
      <c r="F15" s="353" t="b">
        <f>IF(ISERROR(SUM(Model!$9:$90)),FALSE,TRUE)</f>
        <v>1</v>
      </c>
      <c r="G15" s="348"/>
      <c r="H15" s="348" t="str">
        <f t="shared" ref="H15:H16" si="1">$J15&amp;" Check"</f>
        <v>Profit &amp; Loss Check</v>
      </c>
      <c r="I15" s="348"/>
      <c r="J15" s="27" t="s">
        <v>153</v>
      </c>
      <c r="K15" s="348"/>
      <c r="L15" s="348"/>
      <c r="M15" s="348"/>
      <c r="N15" s="348"/>
      <c r="O15" s="348"/>
      <c r="P15" s="348"/>
      <c r="Q15" s="348"/>
      <c r="R15" s="348"/>
      <c r="S15" s="348"/>
      <c r="T15" s="348"/>
      <c r="U15" s="348"/>
      <c r="V15" s="348"/>
      <c r="W15" s="348"/>
      <c r="X15" s="348"/>
      <c r="Y15" s="348"/>
      <c r="Z15" s="348"/>
    </row>
    <row r="16" ht="12.0" customHeight="1">
      <c r="A16" s="348"/>
      <c r="B16" s="353" t="b">
        <f>IF(ISERROR(SUM('Balance Sheet'!$1:$1048576)),FALSE,TRUE)</f>
        <v>1</v>
      </c>
      <c r="C16" s="348"/>
      <c r="D16" s="27" t="s">
        <v>61</v>
      </c>
      <c r="E16" s="348"/>
      <c r="F16" s="353" t="b">
        <f>IF(ISERROR(SUM(Model!$90:$119)),FALSE,TRUE)</f>
        <v>1</v>
      </c>
      <c r="G16" s="348"/>
      <c r="H16" s="348" t="str">
        <f t="shared" si="1"/>
        <v>Balance Sheet Check</v>
      </c>
      <c r="I16" s="348"/>
      <c r="J16" s="27" t="s">
        <v>61</v>
      </c>
      <c r="K16" s="348"/>
      <c r="L16" s="348"/>
      <c r="M16" s="348"/>
      <c r="N16" s="348"/>
      <c r="O16" s="348"/>
      <c r="P16" s="348"/>
      <c r="Q16" s="348"/>
      <c r="R16" s="348"/>
      <c r="S16" s="348"/>
      <c r="T16" s="348"/>
      <c r="U16" s="348"/>
      <c r="V16" s="348"/>
      <c r="W16" s="348"/>
      <c r="X16" s="348"/>
      <c r="Y16" s="348"/>
      <c r="Z16" s="348"/>
    </row>
    <row r="17" ht="12.0" customHeight="1">
      <c r="A17" s="348"/>
      <c r="B17" s="353" t="b">
        <f>IF(ISERROR(SUM('Cash Flow Statement'!$1:$1048576)),FALSE,TRUE)</f>
        <v>1</v>
      </c>
      <c r="C17" s="348"/>
      <c r="D17" s="27" t="s">
        <v>64</v>
      </c>
      <c r="E17" s="348"/>
      <c r="F17" s="353" t="b">
        <f>IF(ISERROR(SUM(Model!$119:$146)),FALSE,TRUE)</f>
        <v>1</v>
      </c>
      <c r="G17" s="348"/>
      <c r="H17" s="348" t="str">
        <f>$J17&amp;" Check I"</f>
        <v>Cash Flow Check I</v>
      </c>
      <c r="I17" s="348"/>
      <c r="J17" s="27" t="s">
        <v>46</v>
      </c>
      <c r="K17" s="348"/>
      <c r="L17" s="348"/>
      <c r="M17" s="348"/>
      <c r="N17" s="348"/>
      <c r="O17" s="348"/>
      <c r="P17" s="348"/>
      <c r="Q17" s="348"/>
      <c r="R17" s="348"/>
      <c r="S17" s="348"/>
      <c r="T17" s="348"/>
      <c r="U17" s="348"/>
      <c r="V17" s="348"/>
      <c r="W17" s="348"/>
      <c r="X17" s="348"/>
      <c r="Y17" s="348"/>
      <c r="Z17" s="348"/>
    </row>
    <row r="18" ht="12.0" customHeight="1">
      <c r="A18" s="348"/>
      <c r="B18" s="353" t="b">
        <f>IF(ISERROR(SUM('Returns on Invested Capital'!$1:$1048576)),FALSE,TRUE)</f>
        <v>1</v>
      </c>
      <c r="C18" s="348"/>
      <c r="D18" s="27" t="s">
        <v>67</v>
      </c>
      <c r="E18" s="348"/>
      <c r="F18" s="353" t="b">
        <f>IF(ISERROR(SUM('Cash Flow Statement'!$39:$39)),FALSE,TRUE)</f>
        <v>1</v>
      </c>
      <c r="G18" s="348"/>
      <c r="H18" s="348" t="str">
        <f>$J18&amp;" Check II"</f>
        <v>Cash Flow Check II</v>
      </c>
      <c r="I18" s="348"/>
      <c r="J18" s="27" t="s">
        <v>46</v>
      </c>
      <c r="K18" s="348"/>
      <c r="L18" s="348"/>
      <c r="M18" s="348"/>
      <c r="N18" s="348"/>
      <c r="O18" s="348"/>
      <c r="P18" s="348"/>
      <c r="Q18" s="348"/>
      <c r="R18" s="348"/>
      <c r="S18" s="348"/>
      <c r="T18" s="348"/>
      <c r="U18" s="348"/>
      <c r="V18" s="348"/>
      <c r="W18" s="348"/>
      <c r="X18" s="348"/>
      <c r="Y18" s="348"/>
      <c r="Z18" s="348"/>
    </row>
    <row r="19" ht="12.0" customHeight="1">
      <c r="A19" s="348"/>
      <c r="B19" s="353" t="b">
        <f>IF(ISERROR(SUM(Valuation!$1:$1048576)),FALSE,TRUE)</f>
        <v>1</v>
      </c>
      <c r="C19" s="348"/>
      <c r="D19" s="27" t="s">
        <v>69</v>
      </c>
      <c r="E19" s="348"/>
      <c r="F19" s="353" t="b">
        <f>IF(ISERROR(SUM(Model!$146:$161)),FALSE,TRUE)</f>
        <v>1</v>
      </c>
      <c r="G19" s="348"/>
      <c r="H19" s="348" t="str">
        <f t="shared" ref="H19:H25" si="2">$J19&amp;" Check"</f>
        <v>Corporation Tax Check</v>
      </c>
      <c r="I19" s="348"/>
      <c r="J19" s="27" t="s">
        <v>286</v>
      </c>
      <c r="K19" s="348"/>
      <c r="L19" s="348"/>
      <c r="M19" s="348"/>
      <c r="N19" s="348"/>
      <c r="O19" s="348"/>
      <c r="P19" s="348"/>
      <c r="Q19" s="348"/>
      <c r="R19" s="348"/>
      <c r="S19" s="348"/>
      <c r="T19" s="348"/>
      <c r="U19" s="348"/>
      <c r="V19" s="348"/>
      <c r="W19" s="348"/>
      <c r="X19" s="348"/>
      <c r="Y19" s="348"/>
      <c r="Z19" s="348"/>
    </row>
    <row r="20" ht="12.0" customHeight="1">
      <c r="A20" s="348"/>
      <c r="B20" s="353" t="b">
        <f>IF(ISERROR(SUM(Model!$1:$1048576)),FALSE,TRUE)</f>
        <v>1</v>
      </c>
      <c r="C20" s="348"/>
      <c r="D20" s="27" t="s">
        <v>70</v>
      </c>
      <c r="E20" s="348"/>
      <c r="F20" s="353" t="b">
        <f>IF(ISERROR(SUM(Model!$161:$189)),FALSE,TRUE)</f>
        <v>1</v>
      </c>
      <c r="G20" s="348"/>
      <c r="H20" s="348" t="str">
        <f t="shared" si="2"/>
        <v>Working Capital Check</v>
      </c>
      <c r="I20" s="348"/>
      <c r="J20" s="27" t="s">
        <v>136</v>
      </c>
      <c r="K20" s="348"/>
      <c r="L20" s="348"/>
      <c r="M20" s="348"/>
      <c r="N20" s="348"/>
      <c r="O20" s="348"/>
      <c r="P20" s="348"/>
      <c r="Q20" s="348"/>
      <c r="R20" s="348"/>
      <c r="S20" s="348"/>
      <c r="T20" s="348"/>
      <c r="U20" s="348"/>
      <c r="V20" s="348"/>
      <c r="W20" s="348"/>
      <c r="X20" s="348"/>
      <c r="Y20" s="348"/>
      <c r="Z20" s="348"/>
    </row>
    <row r="21" ht="12.0" customHeight="1">
      <c r="A21" s="348"/>
      <c r="B21" s="348"/>
      <c r="C21" s="348"/>
      <c r="D21" s="348"/>
      <c r="E21" s="348"/>
      <c r="F21" s="353" t="b">
        <f>IF(ISERROR(SUM(Model!$189:$212)),FALSE,TRUE)</f>
        <v>1</v>
      </c>
      <c r="G21" s="348"/>
      <c r="H21" s="348" t="str">
        <f t="shared" si="2"/>
        <v>Debt Check</v>
      </c>
      <c r="I21" s="348"/>
      <c r="J21" s="27" t="s">
        <v>99</v>
      </c>
      <c r="K21" s="348"/>
      <c r="L21" s="348"/>
      <c r="M21" s="348"/>
      <c r="N21" s="348"/>
      <c r="O21" s="348"/>
      <c r="P21" s="348"/>
      <c r="Q21" s="348"/>
      <c r="R21" s="348"/>
      <c r="S21" s="348"/>
      <c r="T21" s="348"/>
      <c r="U21" s="348"/>
      <c r="V21" s="348"/>
      <c r="W21" s="348"/>
      <c r="X21" s="348"/>
      <c r="Y21" s="348"/>
      <c r="Z21" s="348"/>
    </row>
    <row r="22" ht="12.0" customHeight="1">
      <c r="A22" s="348"/>
      <c r="B22" s="348"/>
      <c r="C22" s="348"/>
      <c r="D22" s="348"/>
      <c r="E22" s="348"/>
      <c r="F22" s="353" t="b">
        <f>IF(ISERROR(SUM(Model!$212:$245)),FALSE,TRUE)</f>
        <v>1</v>
      </c>
      <c r="G22" s="348"/>
      <c r="H22" s="348" t="str">
        <f t="shared" si="2"/>
        <v>Capex Check</v>
      </c>
      <c r="I22" s="348"/>
      <c r="J22" s="27" t="s">
        <v>287</v>
      </c>
      <c r="K22" s="348"/>
      <c r="L22" s="348"/>
      <c r="M22" s="348"/>
      <c r="N22" s="348"/>
      <c r="O22" s="348"/>
      <c r="P22" s="348"/>
      <c r="Q22" s="348"/>
      <c r="R22" s="348"/>
      <c r="S22" s="348"/>
      <c r="T22" s="348"/>
      <c r="U22" s="348"/>
      <c r="V22" s="348"/>
      <c r="W22" s="348"/>
      <c r="X22" s="348"/>
      <c r="Y22" s="348"/>
      <c r="Z22" s="348"/>
    </row>
    <row r="23" ht="12.0" customHeight="1">
      <c r="A23" s="348"/>
      <c r="B23" s="348"/>
      <c r="C23" s="348"/>
      <c r="D23" s="348"/>
      <c r="E23" s="348"/>
      <c r="F23" s="353" t="b">
        <f>IF(ISERROR(SUM(Model!$245:$282)),FALSE,TRUE)</f>
        <v>1</v>
      </c>
      <c r="G23" s="348"/>
      <c r="H23" s="348" t="str">
        <f t="shared" si="2"/>
        <v>Breakeven Check</v>
      </c>
      <c r="I23" s="348"/>
      <c r="J23" s="27" t="s">
        <v>40</v>
      </c>
      <c r="K23" s="348"/>
      <c r="L23" s="348"/>
      <c r="M23" s="348"/>
      <c r="N23" s="348"/>
      <c r="O23" s="348"/>
      <c r="P23" s="348"/>
      <c r="Q23" s="348"/>
      <c r="R23" s="348"/>
      <c r="S23" s="348"/>
      <c r="T23" s="348"/>
      <c r="U23" s="348"/>
      <c r="V23" s="348"/>
      <c r="W23" s="348"/>
      <c r="X23" s="348"/>
      <c r="Y23" s="348"/>
      <c r="Z23" s="348"/>
    </row>
    <row r="24" ht="12.0" customHeight="1">
      <c r="A24" s="348"/>
      <c r="B24" s="348"/>
      <c r="C24" s="348"/>
      <c r="D24" s="348"/>
      <c r="E24" s="348"/>
      <c r="F24" s="353" t="b">
        <f>IF(ISERROR(SUM(Model!$282:$304)),FALSE,TRUE)</f>
        <v>1</v>
      </c>
      <c r="G24" s="348"/>
      <c r="H24" s="348" t="str">
        <f t="shared" si="2"/>
        <v>ROI Check</v>
      </c>
      <c r="I24" s="348"/>
      <c r="J24" s="27" t="s">
        <v>285</v>
      </c>
      <c r="K24" s="348"/>
      <c r="L24" s="348"/>
      <c r="M24" s="348"/>
      <c r="N24" s="348"/>
      <c r="O24" s="348"/>
      <c r="P24" s="348"/>
      <c r="Q24" s="348"/>
      <c r="R24" s="348"/>
      <c r="S24" s="348"/>
      <c r="T24" s="348"/>
      <c r="U24" s="348"/>
      <c r="V24" s="348"/>
      <c r="W24" s="348"/>
      <c r="X24" s="348"/>
      <c r="Y24" s="348"/>
      <c r="Z24" s="348"/>
    </row>
    <row r="25" ht="12.0" customHeight="1">
      <c r="A25" s="348"/>
      <c r="B25" s="348"/>
      <c r="C25" s="348"/>
      <c r="D25" s="348"/>
      <c r="E25" s="348"/>
      <c r="F25" s="353" t="b">
        <f>IF(ISERROR(SUM(Model!$304:$321)),FALSE,TRUE)</f>
        <v>1</v>
      </c>
      <c r="G25" s="348"/>
      <c r="H25" s="348" t="str">
        <f t="shared" si="2"/>
        <v>Valuation Check</v>
      </c>
      <c r="I25" s="348"/>
      <c r="J25" s="27" t="s">
        <v>69</v>
      </c>
      <c r="K25" s="348"/>
      <c r="L25" s="348"/>
      <c r="M25" s="348"/>
      <c r="N25" s="348"/>
      <c r="O25" s="348"/>
      <c r="P25" s="348"/>
      <c r="Q25" s="348"/>
      <c r="R25" s="348"/>
      <c r="S25" s="348"/>
      <c r="T25" s="348"/>
      <c r="U25" s="348"/>
      <c r="V25" s="348"/>
      <c r="W25" s="348"/>
      <c r="X25" s="348"/>
      <c r="Y25" s="348"/>
      <c r="Z25" s="348"/>
    </row>
    <row r="26" ht="12.0" customHeight="1">
      <c r="A26" s="348"/>
      <c r="B26" s="348"/>
      <c r="C26" s="348"/>
      <c r="D26" s="348"/>
      <c r="E26" s="348"/>
      <c r="F26" s="348"/>
      <c r="G26" s="348"/>
      <c r="H26" s="348"/>
      <c r="I26" s="348"/>
      <c r="J26" s="348"/>
      <c r="K26" s="348"/>
      <c r="L26" s="348"/>
      <c r="M26" s="348"/>
      <c r="N26" s="348"/>
      <c r="O26" s="348"/>
      <c r="P26" s="348"/>
      <c r="Q26" s="348"/>
      <c r="R26" s="348"/>
      <c r="S26" s="348"/>
      <c r="T26" s="348"/>
      <c r="U26" s="348"/>
      <c r="V26" s="348"/>
      <c r="W26" s="348"/>
      <c r="X26" s="348"/>
      <c r="Y26" s="348"/>
      <c r="Z26" s="348"/>
    </row>
    <row r="27" ht="12.0" customHeight="1">
      <c r="A27" s="348"/>
      <c r="B27" s="348"/>
      <c r="C27" s="348"/>
      <c r="D27" s="348"/>
      <c r="E27" s="348"/>
      <c r="F27" s="348"/>
      <c r="G27" s="348"/>
      <c r="H27" s="348"/>
      <c r="I27" s="348"/>
      <c r="J27" s="348"/>
      <c r="K27" s="348"/>
      <c r="L27" s="348"/>
      <c r="M27" s="348"/>
      <c r="N27" s="348"/>
      <c r="O27" s="348"/>
      <c r="P27" s="348"/>
      <c r="Q27" s="348"/>
      <c r="R27" s="348"/>
      <c r="S27" s="348"/>
      <c r="T27" s="348"/>
      <c r="U27" s="348"/>
      <c r="V27" s="348"/>
      <c r="W27" s="348"/>
      <c r="X27" s="348"/>
      <c r="Y27" s="348"/>
      <c r="Z27" s="348"/>
    </row>
    <row r="28" ht="12.0" customHeight="1">
      <c r="A28" s="348"/>
      <c r="B28" s="348"/>
      <c r="C28" s="348"/>
      <c r="D28" s="348"/>
      <c r="E28" s="348"/>
      <c r="F28" s="348"/>
      <c r="G28" s="348"/>
      <c r="H28" s="348"/>
      <c r="I28" s="348"/>
      <c r="J28" s="348"/>
      <c r="K28" s="348"/>
      <c r="L28" s="348"/>
      <c r="M28" s="348"/>
      <c r="N28" s="348"/>
      <c r="O28" s="348"/>
      <c r="P28" s="348"/>
      <c r="Q28" s="348"/>
      <c r="R28" s="348"/>
      <c r="S28" s="348"/>
      <c r="T28" s="348"/>
      <c r="U28" s="348"/>
      <c r="V28" s="348"/>
      <c r="W28" s="348"/>
      <c r="X28" s="348"/>
      <c r="Y28" s="348"/>
      <c r="Z28" s="348"/>
    </row>
    <row r="29" ht="12.0" customHeight="1">
      <c r="A29" s="348"/>
      <c r="B29" s="348"/>
      <c r="C29" s="348"/>
      <c r="D29" s="348"/>
      <c r="E29" s="348"/>
      <c r="F29" s="348"/>
      <c r="G29" s="348"/>
      <c r="H29" s="348"/>
      <c r="I29" s="348"/>
      <c r="J29" s="348"/>
      <c r="K29" s="348"/>
      <c r="L29" s="348"/>
      <c r="M29" s="348"/>
      <c r="N29" s="348"/>
      <c r="O29" s="348"/>
      <c r="P29" s="348"/>
      <c r="Q29" s="348"/>
      <c r="R29" s="348"/>
      <c r="S29" s="348"/>
      <c r="T29" s="348"/>
      <c r="U29" s="348"/>
      <c r="V29" s="348"/>
      <c r="W29" s="348"/>
      <c r="X29" s="348"/>
      <c r="Y29" s="348"/>
      <c r="Z29" s="348"/>
    </row>
    <row r="30" ht="12.0" customHeight="1">
      <c r="A30" s="348"/>
      <c r="B30" s="348"/>
      <c r="C30" s="348"/>
      <c r="D30" s="348"/>
      <c r="E30" s="348"/>
      <c r="F30" s="348"/>
      <c r="G30" s="348"/>
      <c r="H30" s="348"/>
      <c r="I30" s="348"/>
      <c r="J30" s="348"/>
      <c r="K30" s="348"/>
      <c r="L30" s="348"/>
      <c r="M30" s="348"/>
      <c r="N30" s="348"/>
      <c r="O30" s="348"/>
      <c r="P30" s="348"/>
      <c r="Q30" s="348"/>
      <c r="R30" s="348"/>
      <c r="S30" s="348"/>
      <c r="T30" s="348"/>
      <c r="U30" s="348"/>
      <c r="V30" s="348"/>
      <c r="W30" s="348"/>
      <c r="X30" s="348"/>
      <c r="Y30" s="348"/>
      <c r="Z30" s="348"/>
    </row>
    <row r="31" ht="12.0" customHeight="1">
      <c r="A31" s="348"/>
      <c r="B31" s="348"/>
      <c r="C31" s="348"/>
      <c r="D31" s="348"/>
      <c r="E31" s="348"/>
      <c r="F31" s="348"/>
      <c r="G31" s="348"/>
      <c r="H31" s="348"/>
      <c r="I31" s="348"/>
      <c r="J31" s="348"/>
      <c r="K31" s="348"/>
      <c r="L31" s="348"/>
      <c r="M31" s="348"/>
      <c r="N31" s="348"/>
      <c r="O31" s="348"/>
      <c r="P31" s="348"/>
      <c r="Q31" s="348"/>
      <c r="R31" s="348"/>
      <c r="S31" s="348"/>
      <c r="T31" s="348"/>
      <c r="U31" s="348"/>
      <c r="V31" s="348"/>
      <c r="W31" s="348"/>
      <c r="X31" s="348"/>
      <c r="Y31" s="348"/>
      <c r="Z31" s="348"/>
    </row>
    <row r="32" ht="12.0" customHeight="1">
      <c r="A32" s="348"/>
      <c r="B32" s="348"/>
      <c r="C32" s="348"/>
      <c r="D32" s="348"/>
      <c r="E32" s="348"/>
      <c r="F32" s="348"/>
      <c r="G32" s="348"/>
      <c r="H32" s="348"/>
      <c r="I32" s="348"/>
      <c r="J32" s="348"/>
      <c r="K32" s="348"/>
      <c r="L32" s="348"/>
      <c r="M32" s="348"/>
      <c r="N32" s="348"/>
      <c r="O32" s="348"/>
      <c r="P32" s="348"/>
      <c r="Q32" s="348"/>
      <c r="R32" s="348"/>
      <c r="S32" s="348"/>
      <c r="T32" s="348"/>
      <c r="U32" s="348"/>
      <c r="V32" s="348"/>
      <c r="W32" s="348"/>
      <c r="X32" s="348"/>
      <c r="Y32" s="348"/>
      <c r="Z32" s="348"/>
    </row>
    <row r="33" ht="12.0" customHeight="1">
      <c r="A33" s="348"/>
      <c r="B33" s="348"/>
      <c r="C33" s="348"/>
      <c r="D33" s="348"/>
      <c r="E33" s="348"/>
      <c r="F33" s="348"/>
      <c r="G33" s="348"/>
      <c r="H33" s="348"/>
      <c r="I33" s="348"/>
      <c r="J33" s="348"/>
      <c r="K33" s="348"/>
      <c r="L33" s="348"/>
      <c r="M33" s="348"/>
      <c r="N33" s="348"/>
      <c r="O33" s="348"/>
      <c r="P33" s="348"/>
      <c r="Q33" s="348"/>
      <c r="R33" s="348"/>
      <c r="S33" s="348"/>
      <c r="T33" s="348"/>
      <c r="U33" s="348"/>
      <c r="V33" s="348"/>
      <c r="W33" s="348"/>
      <c r="X33" s="348"/>
      <c r="Y33" s="348"/>
      <c r="Z33" s="348"/>
    </row>
    <row r="34" ht="12.0" customHeight="1">
      <c r="A34" s="348"/>
      <c r="B34" s="348"/>
      <c r="C34" s="348"/>
      <c r="D34" s="348"/>
      <c r="E34" s="348"/>
      <c r="F34" s="348"/>
      <c r="G34" s="348"/>
      <c r="H34" s="348"/>
      <c r="I34" s="348"/>
      <c r="J34" s="348"/>
      <c r="K34" s="348"/>
      <c r="L34" s="348"/>
      <c r="M34" s="348"/>
      <c r="N34" s="348"/>
      <c r="O34" s="348"/>
      <c r="P34" s="348"/>
      <c r="Q34" s="348"/>
      <c r="R34" s="348"/>
      <c r="S34" s="348"/>
      <c r="T34" s="348"/>
      <c r="U34" s="348"/>
      <c r="V34" s="348"/>
      <c r="W34" s="348"/>
      <c r="X34" s="348"/>
      <c r="Y34" s="348"/>
      <c r="Z34" s="348"/>
    </row>
    <row r="35" ht="12.0" customHeight="1">
      <c r="A35" s="348"/>
      <c r="B35" s="348"/>
      <c r="C35" s="348"/>
      <c r="D35" s="348"/>
      <c r="E35" s="348"/>
      <c r="F35" s="348"/>
      <c r="G35" s="348"/>
      <c r="H35" s="348"/>
      <c r="I35" s="348"/>
      <c r="J35" s="348"/>
      <c r="K35" s="348"/>
      <c r="L35" s="348"/>
      <c r="M35" s="348"/>
      <c r="N35" s="348"/>
      <c r="O35" s="348"/>
      <c r="P35" s="348"/>
      <c r="Q35" s="348"/>
      <c r="R35" s="348"/>
      <c r="S35" s="348"/>
      <c r="T35" s="348"/>
      <c r="U35" s="348"/>
      <c r="V35" s="348"/>
      <c r="W35" s="348"/>
      <c r="X35" s="348"/>
      <c r="Y35" s="348"/>
      <c r="Z35" s="348"/>
    </row>
    <row r="36" ht="12.0" customHeight="1">
      <c r="A36" s="348"/>
      <c r="B36" s="348"/>
      <c r="C36" s="348"/>
      <c r="D36" s="348"/>
      <c r="E36" s="348"/>
      <c r="F36" s="348"/>
      <c r="G36" s="348"/>
      <c r="H36" s="348"/>
      <c r="I36" s="348"/>
      <c r="J36" s="348"/>
      <c r="K36" s="348"/>
      <c r="L36" s="348"/>
      <c r="M36" s="348"/>
      <c r="N36" s="348"/>
      <c r="O36" s="348"/>
      <c r="P36" s="348"/>
      <c r="Q36" s="348"/>
      <c r="R36" s="348"/>
      <c r="S36" s="348"/>
      <c r="T36" s="348"/>
      <c r="U36" s="348"/>
      <c r="V36" s="348"/>
      <c r="W36" s="348"/>
      <c r="X36" s="348"/>
      <c r="Y36" s="348"/>
      <c r="Z36" s="348"/>
    </row>
    <row r="37" ht="12.0" customHeight="1">
      <c r="A37" s="348"/>
      <c r="B37" s="348"/>
      <c r="C37" s="348"/>
      <c r="D37" s="348"/>
      <c r="E37" s="348"/>
      <c r="F37" s="348"/>
      <c r="G37" s="348"/>
      <c r="H37" s="348"/>
      <c r="I37" s="348"/>
      <c r="J37" s="348"/>
      <c r="K37" s="348"/>
      <c r="L37" s="348"/>
      <c r="M37" s="348"/>
      <c r="N37" s="348"/>
      <c r="O37" s="348"/>
      <c r="P37" s="348"/>
      <c r="Q37" s="348"/>
      <c r="R37" s="348"/>
      <c r="S37" s="348"/>
      <c r="T37" s="348"/>
      <c r="U37" s="348"/>
      <c r="V37" s="348"/>
      <c r="W37" s="348"/>
      <c r="X37" s="348"/>
      <c r="Y37" s="348"/>
      <c r="Z37" s="348"/>
    </row>
    <row r="38" ht="12.0" customHeight="1">
      <c r="A38" s="348"/>
      <c r="B38" s="348"/>
      <c r="C38" s="348"/>
      <c r="D38" s="348"/>
      <c r="E38" s="348"/>
      <c r="F38" s="348"/>
      <c r="G38" s="348"/>
      <c r="H38" s="348"/>
      <c r="I38" s="348"/>
      <c r="J38" s="348"/>
      <c r="K38" s="348"/>
      <c r="L38" s="348"/>
      <c r="M38" s="348"/>
      <c r="N38" s="348"/>
      <c r="O38" s="348"/>
      <c r="P38" s="348"/>
      <c r="Q38" s="348"/>
      <c r="R38" s="348"/>
      <c r="S38" s="348"/>
      <c r="T38" s="348"/>
      <c r="U38" s="348"/>
      <c r="V38" s="348"/>
      <c r="W38" s="348"/>
      <c r="X38" s="348"/>
      <c r="Y38" s="348"/>
      <c r="Z38" s="348"/>
    </row>
    <row r="39" ht="12.0" customHeight="1">
      <c r="A39" s="348"/>
      <c r="B39" s="348"/>
      <c r="C39" s="348"/>
      <c r="D39" s="348"/>
      <c r="E39" s="348"/>
      <c r="F39" s="348"/>
      <c r="G39" s="348"/>
      <c r="H39" s="348"/>
      <c r="I39" s="348"/>
      <c r="J39" s="348"/>
      <c r="K39" s="348"/>
      <c r="L39" s="348"/>
      <c r="M39" s="348"/>
      <c r="N39" s="348"/>
      <c r="O39" s="348"/>
      <c r="P39" s="348"/>
      <c r="Q39" s="348"/>
      <c r="R39" s="348"/>
      <c r="S39" s="348"/>
      <c r="T39" s="348"/>
      <c r="U39" s="348"/>
      <c r="V39" s="348"/>
      <c r="W39" s="348"/>
      <c r="X39" s="348"/>
      <c r="Y39" s="348"/>
      <c r="Z39" s="348"/>
    </row>
    <row r="40" ht="12.0" customHeight="1">
      <c r="A40" s="348"/>
      <c r="B40" s="348"/>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row>
    <row r="41" ht="12.0" customHeight="1">
      <c r="A41" s="348"/>
      <c r="B41" s="348"/>
      <c r="C41" s="348"/>
      <c r="D41" s="348"/>
      <c r="E41" s="348"/>
      <c r="F41" s="348"/>
      <c r="G41" s="348"/>
      <c r="H41" s="348"/>
      <c r="I41" s="348"/>
      <c r="J41" s="348"/>
      <c r="K41" s="348"/>
      <c r="L41" s="348"/>
      <c r="M41" s="348"/>
      <c r="N41" s="348"/>
      <c r="O41" s="348"/>
      <c r="P41" s="348"/>
      <c r="Q41" s="348"/>
      <c r="R41" s="348"/>
      <c r="S41" s="348"/>
      <c r="T41" s="348"/>
      <c r="U41" s="348"/>
      <c r="V41" s="348"/>
      <c r="W41" s="348"/>
      <c r="X41" s="348"/>
      <c r="Y41" s="348"/>
      <c r="Z41" s="348"/>
    </row>
    <row r="42" ht="12.0" customHeight="1">
      <c r="A42" s="348"/>
      <c r="B42" s="348"/>
      <c r="C42" s="348"/>
      <c r="D42" s="348"/>
      <c r="E42" s="348"/>
      <c r="F42" s="348"/>
      <c r="G42" s="348"/>
      <c r="H42" s="348"/>
      <c r="I42" s="348"/>
      <c r="J42" s="348"/>
      <c r="K42" s="348"/>
      <c r="L42" s="348"/>
      <c r="M42" s="348"/>
      <c r="N42" s="348"/>
      <c r="O42" s="348"/>
      <c r="P42" s="348"/>
      <c r="Q42" s="348"/>
      <c r="R42" s="348"/>
      <c r="S42" s="348"/>
      <c r="T42" s="348"/>
      <c r="U42" s="348"/>
      <c r="V42" s="348"/>
      <c r="W42" s="348"/>
      <c r="X42" s="348"/>
      <c r="Y42" s="348"/>
      <c r="Z42" s="348"/>
    </row>
    <row r="43" ht="12.0" customHeight="1">
      <c r="A43" s="348"/>
      <c r="B43" s="348"/>
      <c r="C43" s="348"/>
      <c r="D43" s="348"/>
      <c r="E43" s="348"/>
      <c r="F43" s="348"/>
      <c r="G43" s="348"/>
      <c r="H43" s="348"/>
      <c r="I43" s="348"/>
      <c r="J43" s="348"/>
      <c r="K43" s="348"/>
      <c r="L43" s="348"/>
      <c r="M43" s="348"/>
      <c r="N43" s="348"/>
      <c r="O43" s="348"/>
      <c r="P43" s="348"/>
      <c r="Q43" s="348"/>
      <c r="R43" s="348"/>
      <c r="S43" s="348"/>
      <c r="T43" s="348"/>
      <c r="U43" s="348"/>
      <c r="V43" s="348"/>
      <c r="W43" s="348"/>
      <c r="X43" s="348"/>
      <c r="Y43" s="348"/>
      <c r="Z43" s="348"/>
    </row>
    <row r="44" ht="12.0" customHeight="1">
      <c r="A44" s="348"/>
      <c r="B44" s="348"/>
      <c r="C44" s="348"/>
      <c r="D44" s="348"/>
      <c r="E44" s="348"/>
      <c r="F44" s="348"/>
      <c r="G44" s="348"/>
      <c r="H44" s="348"/>
      <c r="I44" s="348"/>
      <c r="J44" s="348"/>
      <c r="K44" s="348"/>
      <c r="L44" s="348"/>
      <c r="M44" s="348"/>
      <c r="N44" s="348"/>
      <c r="O44" s="348"/>
      <c r="P44" s="348"/>
      <c r="Q44" s="348"/>
      <c r="R44" s="348"/>
      <c r="S44" s="348"/>
      <c r="T44" s="348"/>
      <c r="U44" s="348"/>
      <c r="V44" s="348"/>
      <c r="W44" s="348"/>
      <c r="X44" s="348"/>
      <c r="Y44" s="348"/>
      <c r="Z44" s="348"/>
    </row>
    <row r="45" ht="12.0" customHeight="1">
      <c r="A45" s="348"/>
      <c r="B45" s="348"/>
      <c r="C45" s="348"/>
      <c r="D45" s="348"/>
      <c r="E45" s="348"/>
      <c r="F45" s="348"/>
      <c r="G45" s="348"/>
      <c r="H45" s="348"/>
      <c r="I45" s="348"/>
      <c r="J45" s="348"/>
      <c r="K45" s="348"/>
      <c r="L45" s="348"/>
      <c r="M45" s="348"/>
      <c r="N45" s="348"/>
      <c r="O45" s="348"/>
      <c r="P45" s="348"/>
      <c r="Q45" s="348"/>
      <c r="R45" s="348"/>
      <c r="S45" s="348"/>
      <c r="T45" s="348"/>
      <c r="U45" s="348"/>
      <c r="V45" s="348"/>
      <c r="W45" s="348"/>
      <c r="X45" s="348"/>
      <c r="Y45" s="348"/>
      <c r="Z45" s="348"/>
    </row>
    <row r="46" ht="12.0" customHeight="1">
      <c r="A46" s="348"/>
      <c r="B46" s="348"/>
      <c r="C46" s="348"/>
      <c r="D46" s="348"/>
      <c r="E46" s="348"/>
      <c r="F46" s="348"/>
      <c r="G46" s="348"/>
      <c r="H46" s="348"/>
      <c r="I46" s="348"/>
      <c r="J46" s="348"/>
      <c r="K46" s="348"/>
      <c r="L46" s="348"/>
      <c r="M46" s="348"/>
      <c r="N46" s="348"/>
      <c r="O46" s="348"/>
      <c r="P46" s="348"/>
      <c r="Q46" s="348"/>
      <c r="R46" s="348"/>
      <c r="S46" s="348"/>
      <c r="T46" s="348"/>
      <c r="U46" s="348"/>
      <c r="V46" s="348"/>
      <c r="W46" s="348"/>
      <c r="X46" s="348"/>
      <c r="Y46" s="348"/>
      <c r="Z46" s="348"/>
    </row>
    <row r="47" ht="12.0" customHeight="1">
      <c r="A47" s="348"/>
      <c r="B47" s="348"/>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row>
    <row r="48" ht="12.0" customHeight="1">
      <c r="A48" s="348"/>
      <c r="B48" s="348"/>
      <c r="C48" s="348"/>
      <c r="D48" s="348"/>
      <c r="E48" s="348"/>
      <c r="F48" s="348"/>
      <c r="G48" s="348"/>
      <c r="H48" s="348"/>
      <c r="I48" s="348"/>
      <c r="J48" s="348"/>
      <c r="K48" s="348"/>
      <c r="L48" s="348"/>
      <c r="M48" s="348"/>
      <c r="N48" s="348"/>
      <c r="O48" s="348"/>
      <c r="P48" s="348"/>
      <c r="Q48" s="348"/>
      <c r="R48" s="348"/>
      <c r="S48" s="348"/>
      <c r="T48" s="348"/>
      <c r="U48" s="348"/>
      <c r="V48" s="348"/>
      <c r="W48" s="348"/>
      <c r="X48" s="348"/>
      <c r="Y48" s="348"/>
      <c r="Z48" s="348"/>
    </row>
    <row r="49" ht="12.0" customHeight="1">
      <c r="A49" s="348"/>
      <c r="B49" s="348"/>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row>
    <row r="50" ht="12.0" customHeight="1">
      <c r="A50" s="348"/>
      <c r="B50" s="348"/>
      <c r="C50" s="348"/>
      <c r="D50" s="348"/>
      <c r="E50" s="348"/>
      <c r="F50" s="348"/>
      <c r="G50" s="348"/>
      <c r="H50" s="348"/>
      <c r="I50" s="348"/>
      <c r="J50" s="348"/>
      <c r="K50" s="348"/>
      <c r="L50" s="348"/>
      <c r="M50" s="348"/>
      <c r="N50" s="348"/>
      <c r="O50" s="348"/>
      <c r="P50" s="348"/>
      <c r="Q50" s="348"/>
      <c r="R50" s="348"/>
      <c r="S50" s="348"/>
      <c r="T50" s="348"/>
      <c r="U50" s="348"/>
      <c r="V50" s="348"/>
      <c r="W50" s="348"/>
      <c r="X50" s="348"/>
      <c r="Y50" s="348"/>
      <c r="Z50" s="348"/>
    </row>
    <row r="51" ht="12.0" customHeight="1">
      <c r="A51" s="348"/>
      <c r="B51" s="348"/>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row>
    <row r="52" ht="12.0" customHeight="1">
      <c r="A52" s="348"/>
      <c r="B52" s="348"/>
      <c r="C52" s="348"/>
      <c r="D52" s="348"/>
      <c r="E52" s="348"/>
      <c r="F52" s="348"/>
      <c r="G52" s="348"/>
      <c r="H52" s="348"/>
      <c r="I52" s="348"/>
      <c r="J52" s="348"/>
      <c r="K52" s="348"/>
      <c r="L52" s="348"/>
      <c r="M52" s="348"/>
      <c r="N52" s="348"/>
      <c r="O52" s="348"/>
      <c r="P52" s="348"/>
      <c r="Q52" s="348"/>
      <c r="R52" s="348"/>
      <c r="S52" s="348"/>
      <c r="T52" s="348"/>
      <c r="U52" s="348"/>
      <c r="V52" s="348"/>
      <c r="W52" s="348"/>
      <c r="X52" s="348"/>
      <c r="Y52" s="348"/>
      <c r="Z52" s="348"/>
    </row>
    <row r="53" ht="12.0" customHeight="1">
      <c r="A53" s="348"/>
      <c r="B53" s="348"/>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row>
    <row r="54" ht="12.0" customHeight="1">
      <c r="A54" s="348"/>
      <c r="B54" s="348"/>
      <c r="C54" s="348"/>
      <c r="D54" s="348"/>
      <c r="E54" s="348"/>
      <c r="F54" s="348"/>
      <c r="G54" s="348"/>
      <c r="H54" s="348"/>
      <c r="I54" s="348"/>
      <c r="J54" s="348"/>
      <c r="K54" s="348"/>
      <c r="L54" s="348"/>
      <c r="M54" s="348"/>
      <c r="N54" s="348"/>
      <c r="O54" s="348"/>
      <c r="P54" s="348"/>
      <c r="Q54" s="348"/>
      <c r="R54" s="348"/>
      <c r="S54" s="348"/>
      <c r="T54" s="348"/>
      <c r="U54" s="348"/>
      <c r="V54" s="348"/>
      <c r="W54" s="348"/>
      <c r="X54" s="348"/>
      <c r="Y54" s="348"/>
      <c r="Z54" s="348"/>
    </row>
    <row r="55" ht="12.0" customHeight="1">
      <c r="A55" s="348"/>
      <c r="B55" s="348"/>
      <c r="C55" s="348"/>
      <c r="D55" s="348"/>
      <c r="E55" s="348"/>
      <c r="F55" s="348"/>
      <c r="G55" s="348"/>
      <c r="H55" s="348"/>
      <c r="I55" s="348"/>
      <c r="J55" s="348"/>
      <c r="K55" s="348"/>
      <c r="L55" s="348"/>
      <c r="M55" s="348"/>
      <c r="N55" s="348"/>
      <c r="O55" s="348"/>
      <c r="P55" s="348"/>
      <c r="Q55" s="348"/>
      <c r="R55" s="348"/>
      <c r="S55" s="348"/>
      <c r="T55" s="348"/>
      <c r="U55" s="348"/>
      <c r="V55" s="348"/>
      <c r="W55" s="348"/>
      <c r="X55" s="348"/>
      <c r="Y55" s="348"/>
      <c r="Z55" s="348"/>
    </row>
    <row r="56" ht="12.0" customHeight="1">
      <c r="A56" s="348"/>
      <c r="B56" s="348"/>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row>
    <row r="57" ht="12.0" customHeight="1">
      <c r="A57" s="348"/>
      <c r="B57" s="348"/>
      <c r="C57" s="348"/>
      <c r="D57" s="348"/>
      <c r="E57" s="348"/>
      <c r="F57" s="348"/>
      <c r="G57" s="348"/>
      <c r="H57" s="348"/>
      <c r="I57" s="348"/>
      <c r="J57" s="348"/>
      <c r="K57" s="348"/>
      <c r="L57" s="348"/>
      <c r="M57" s="348"/>
      <c r="N57" s="348"/>
      <c r="O57" s="348"/>
      <c r="P57" s="348"/>
      <c r="Q57" s="348"/>
      <c r="R57" s="348"/>
      <c r="S57" s="348"/>
      <c r="T57" s="348"/>
      <c r="U57" s="348"/>
      <c r="V57" s="348"/>
      <c r="W57" s="348"/>
      <c r="X57" s="348"/>
      <c r="Y57" s="348"/>
      <c r="Z57" s="348"/>
    </row>
    <row r="58" ht="12.0" customHeight="1">
      <c r="A58" s="348"/>
      <c r="B58" s="348"/>
      <c r="C58" s="348"/>
      <c r="D58" s="348"/>
      <c r="E58" s="348"/>
      <c r="F58" s="348"/>
      <c r="G58" s="348"/>
      <c r="H58" s="348"/>
      <c r="I58" s="348"/>
      <c r="J58" s="348"/>
      <c r="K58" s="348"/>
      <c r="L58" s="348"/>
      <c r="M58" s="348"/>
      <c r="N58" s="348"/>
      <c r="O58" s="348"/>
      <c r="P58" s="348"/>
      <c r="Q58" s="348"/>
      <c r="R58" s="348"/>
      <c r="S58" s="348"/>
      <c r="T58" s="348"/>
      <c r="U58" s="348"/>
      <c r="V58" s="348"/>
      <c r="W58" s="348"/>
      <c r="X58" s="348"/>
      <c r="Y58" s="348"/>
      <c r="Z58" s="348"/>
    </row>
    <row r="59" ht="12.0" customHeight="1">
      <c r="A59" s="348"/>
      <c r="B59" s="348"/>
      <c r="C59" s="348"/>
      <c r="D59" s="348"/>
      <c r="E59" s="348"/>
      <c r="F59" s="348"/>
      <c r="G59" s="348"/>
      <c r="H59" s="348"/>
      <c r="I59" s="348"/>
      <c r="J59" s="348"/>
      <c r="K59" s="348"/>
      <c r="L59" s="348"/>
      <c r="M59" s="348"/>
      <c r="N59" s="348"/>
      <c r="O59" s="348"/>
      <c r="P59" s="348"/>
      <c r="Q59" s="348"/>
      <c r="R59" s="348"/>
      <c r="S59" s="348"/>
      <c r="T59" s="348"/>
      <c r="U59" s="348"/>
      <c r="V59" s="348"/>
      <c r="W59" s="348"/>
      <c r="X59" s="348"/>
      <c r="Y59" s="348"/>
      <c r="Z59" s="348"/>
    </row>
    <row r="60" ht="12.0" customHeight="1">
      <c r="A60" s="348"/>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row>
    <row r="61" ht="12.0" customHeight="1">
      <c r="A61" s="348"/>
      <c r="B61" s="348"/>
      <c r="C61" s="348"/>
      <c r="D61" s="348"/>
      <c r="E61" s="348"/>
      <c r="F61" s="348"/>
      <c r="G61" s="348"/>
      <c r="H61" s="348"/>
      <c r="I61" s="348"/>
      <c r="J61" s="348"/>
      <c r="K61" s="348"/>
      <c r="L61" s="348"/>
      <c r="M61" s="348"/>
      <c r="N61" s="348"/>
      <c r="O61" s="348"/>
      <c r="P61" s="348"/>
      <c r="Q61" s="348"/>
      <c r="R61" s="348"/>
      <c r="S61" s="348"/>
      <c r="T61" s="348"/>
      <c r="U61" s="348"/>
      <c r="V61" s="348"/>
      <c r="W61" s="348"/>
      <c r="X61" s="348"/>
      <c r="Y61" s="348"/>
      <c r="Z61" s="348"/>
    </row>
    <row r="62" ht="12.0" customHeight="1">
      <c r="A62" s="348"/>
      <c r="B62" s="348"/>
      <c r="C62" s="348"/>
      <c r="D62" s="348"/>
      <c r="E62" s="348"/>
      <c r="F62" s="348"/>
      <c r="G62" s="348"/>
      <c r="H62" s="348"/>
      <c r="I62" s="348"/>
      <c r="J62" s="348"/>
      <c r="K62" s="348"/>
      <c r="L62" s="348"/>
      <c r="M62" s="348"/>
      <c r="N62" s="348"/>
      <c r="O62" s="348"/>
      <c r="P62" s="348"/>
      <c r="Q62" s="348"/>
      <c r="R62" s="348"/>
      <c r="S62" s="348"/>
      <c r="T62" s="348"/>
      <c r="U62" s="348"/>
      <c r="V62" s="348"/>
      <c r="W62" s="348"/>
      <c r="X62" s="348"/>
      <c r="Y62" s="348"/>
      <c r="Z62" s="348"/>
    </row>
    <row r="63" ht="12.0" customHeight="1">
      <c r="A63" s="348"/>
      <c r="B63" s="348"/>
      <c r="C63" s="348"/>
      <c r="D63" s="348"/>
      <c r="E63" s="348"/>
      <c r="F63" s="348"/>
      <c r="G63" s="348"/>
      <c r="H63" s="348"/>
      <c r="I63" s="348"/>
      <c r="J63" s="348"/>
      <c r="K63" s="348"/>
      <c r="L63" s="348"/>
      <c r="M63" s="348"/>
      <c r="N63" s="348"/>
      <c r="O63" s="348"/>
      <c r="P63" s="348"/>
      <c r="Q63" s="348"/>
      <c r="R63" s="348"/>
      <c r="S63" s="348"/>
      <c r="T63" s="348"/>
      <c r="U63" s="348"/>
      <c r="V63" s="348"/>
      <c r="W63" s="348"/>
      <c r="X63" s="348"/>
      <c r="Y63" s="348"/>
      <c r="Z63" s="348"/>
    </row>
    <row r="64" ht="12.0" customHeight="1">
      <c r="A64" s="348"/>
      <c r="B64" s="348"/>
      <c r="C64" s="348"/>
      <c r="D64" s="348"/>
      <c r="E64" s="348"/>
      <c r="F64" s="348"/>
      <c r="G64" s="348"/>
      <c r="H64" s="348"/>
      <c r="I64" s="348"/>
      <c r="J64" s="348"/>
      <c r="K64" s="348"/>
      <c r="L64" s="348"/>
      <c r="M64" s="348"/>
      <c r="N64" s="348"/>
      <c r="O64" s="348"/>
      <c r="P64" s="348"/>
      <c r="Q64" s="348"/>
      <c r="R64" s="348"/>
      <c r="S64" s="348"/>
      <c r="T64" s="348"/>
      <c r="U64" s="348"/>
      <c r="V64" s="348"/>
      <c r="W64" s="348"/>
      <c r="X64" s="348"/>
      <c r="Y64" s="348"/>
      <c r="Z64" s="348"/>
    </row>
    <row r="65" ht="12.0" customHeight="1">
      <c r="A65" s="348"/>
      <c r="B65" s="348"/>
      <c r="C65" s="348"/>
      <c r="D65" s="348"/>
      <c r="E65" s="348"/>
      <c r="F65" s="348"/>
      <c r="G65" s="348"/>
      <c r="H65" s="348"/>
      <c r="I65" s="348"/>
      <c r="J65" s="348"/>
      <c r="K65" s="348"/>
      <c r="L65" s="348"/>
      <c r="M65" s="348"/>
      <c r="N65" s="348"/>
      <c r="O65" s="348"/>
      <c r="P65" s="348"/>
      <c r="Q65" s="348"/>
      <c r="R65" s="348"/>
      <c r="S65" s="348"/>
      <c r="T65" s="348"/>
      <c r="U65" s="348"/>
      <c r="V65" s="348"/>
      <c r="W65" s="348"/>
      <c r="X65" s="348"/>
      <c r="Y65" s="348"/>
      <c r="Z65" s="348"/>
    </row>
    <row r="66" ht="12.0" customHeight="1">
      <c r="A66" s="348"/>
      <c r="B66" s="348"/>
      <c r="C66" s="348"/>
      <c r="D66" s="348"/>
      <c r="E66" s="348"/>
      <c r="F66" s="348"/>
      <c r="G66" s="348"/>
      <c r="H66" s="348"/>
      <c r="I66" s="348"/>
      <c r="J66" s="348"/>
      <c r="K66" s="348"/>
      <c r="L66" s="348"/>
      <c r="M66" s="348"/>
      <c r="N66" s="348"/>
      <c r="O66" s="348"/>
      <c r="P66" s="348"/>
      <c r="Q66" s="348"/>
      <c r="R66" s="348"/>
      <c r="S66" s="348"/>
      <c r="T66" s="348"/>
      <c r="U66" s="348"/>
      <c r="V66" s="348"/>
      <c r="W66" s="348"/>
      <c r="X66" s="348"/>
      <c r="Y66" s="348"/>
      <c r="Z66" s="348"/>
    </row>
    <row r="67" ht="12.0" customHeight="1">
      <c r="A67" s="348"/>
      <c r="B67" s="348"/>
      <c r="C67" s="348"/>
      <c r="D67" s="348"/>
      <c r="E67" s="348"/>
      <c r="F67" s="348"/>
      <c r="G67" s="348"/>
      <c r="H67" s="348"/>
      <c r="I67" s="348"/>
      <c r="J67" s="348"/>
      <c r="K67" s="348"/>
      <c r="L67" s="348"/>
      <c r="M67" s="348"/>
      <c r="N67" s="348"/>
      <c r="O67" s="348"/>
      <c r="P67" s="348"/>
      <c r="Q67" s="348"/>
      <c r="R67" s="348"/>
      <c r="S67" s="348"/>
      <c r="T67" s="348"/>
      <c r="U67" s="348"/>
      <c r="V67" s="348"/>
      <c r="W67" s="348"/>
      <c r="X67" s="348"/>
      <c r="Y67" s="348"/>
      <c r="Z67" s="348"/>
    </row>
    <row r="68" ht="12.0" customHeight="1">
      <c r="A68" s="348"/>
      <c r="B68" s="348"/>
      <c r="C68" s="348"/>
      <c r="D68" s="348"/>
      <c r="E68" s="348"/>
      <c r="F68" s="348"/>
      <c r="G68" s="348"/>
      <c r="H68" s="348"/>
      <c r="I68" s="348"/>
      <c r="J68" s="348"/>
      <c r="K68" s="348"/>
      <c r="L68" s="348"/>
      <c r="M68" s="348"/>
      <c r="N68" s="348"/>
      <c r="O68" s="348"/>
      <c r="P68" s="348"/>
      <c r="Q68" s="348"/>
      <c r="R68" s="348"/>
      <c r="S68" s="348"/>
      <c r="T68" s="348"/>
      <c r="U68" s="348"/>
      <c r="V68" s="348"/>
      <c r="W68" s="348"/>
      <c r="X68" s="348"/>
      <c r="Y68" s="348"/>
      <c r="Z68" s="348"/>
    </row>
    <row r="69" ht="12.0" customHeight="1">
      <c r="A69" s="348"/>
      <c r="B69" s="348"/>
      <c r="C69" s="348"/>
      <c r="D69" s="348"/>
      <c r="E69" s="348"/>
      <c r="F69" s="348"/>
      <c r="G69" s="348"/>
      <c r="H69" s="348"/>
      <c r="I69" s="348"/>
      <c r="J69" s="348"/>
      <c r="K69" s="348"/>
      <c r="L69" s="348"/>
      <c r="M69" s="348"/>
      <c r="N69" s="348"/>
      <c r="O69" s="348"/>
      <c r="P69" s="348"/>
      <c r="Q69" s="348"/>
      <c r="R69" s="348"/>
      <c r="S69" s="348"/>
      <c r="T69" s="348"/>
      <c r="U69" s="348"/>
      <c r="V69" s="348"/>
      <c r="W69" s="348"/>
      <c r="X69" s="348"/>
      <c r="Y69" s="348"/>
      <c r="Z69" s="348"/>
    </row>
    <row r="70" ht="12.0" customHeight="1">
      <c r="A70" s="348"/>
      <c r="B70" s="348"/>
      <c r="C70" s="348"/>
      <c r="D70" s="348"/>
      <c r="E70" s="348"/>
      <c r="F70" s="348"/>
      <c r="G70" s="348"/>
      <c r="H70" s="348"/>
      <c r="I70" s="348"/>
      <c r="J70" s="348"/>
      <c r="K70" s="348"/>
      <c r="L70" s="348"/>
      <c r="M70" s="348"/>
      <c r="N70" s="348"/>
      <c r="O70" s="348"/>
      <c r="P70" s="348"/>
      <c r="Q70" s="348"/>
      <c r="R70" s="348"/>
      <c r="S70" s="348"/>
      <c r="T70" s="348"/>
      <c r="U70" s="348"/>
      <c r="V70" s="348"/>
      <c r="W70" s="348"/>
      <c r="X70" s="348"/>
      <c r="Y70" s="348"/>
      <c r="Z70" s="348"/>
    </row>
    <row r="71" ht="12.0" customHeight="1">
      <c r="A71" s="348"/>
      <c r="B71" s="348"/>
      <c r="C71" s="348"/>
      <c r="D71" s="348"/>
      <c r="E71" s="348"/>
      <c r="F71" s="348"/>
      <c r="G71" s="348"/>
      <c r="H71" s="348"/>
      <c r="I71" s="348"/>
      <c r="J71" s="348"/>
      <c r="K71" s="348"/>
      <c r="L71" s="348"/>
      <c r="M71" s="348"/>
      <c r="N71" s="348"/>
      <c r="O71" s="348"/>
      <c r="P71" s="348"/>
      <c r="Q71" s="348"/>
      <c r="R71" s="348"/>
      <c r="S71" s="348"/>
      <c r="T71" s="348"/>
      <c r="U71" s="348"/>
      <c r="V71" s="348"/>
      <c r="W71" s="348"/>
      <c r="X71" s="348"/>
      <c r="Y71" s="348"/>
      <c r="Z71" s="348"/>
    </row>
    <row r="72" ht="12.0" customHeight="1">
      <c r="A72" s="348"/>
      <c r="B72" s="348"/>
      <c r="C72" s="348"/>
      <c r="D72" s="348"/>
      <c r="E72" s="348"/>
      <c r="F72" s="348"/>
      <c r="G72" s="348"/>
      <c r="H72" s="348"/>
      <c r="I72" s="348"/>
      <c r="J72" s="348"/>
      <c r="K72" s="348"/>
      <c r="L72" s="348"/>
      <c r="M72" s="348"/>
      <c r="N72" s="348"/>
      <c r="O72" s="348"/>
      <c r="P72" s="348"/>
      <c r="Q72" s="348"/>
      <c r="R72" s="348"/>
      <c r="S72" s="348"/>
      <c r="T72" s="348"/>
      <c r="U72" s="348"/>
      <c r="V72" s="348"/>
      <c r="W72" s="348"/>
      <c r="X72" s="348"/>
      <c r="Y72" s="348"/>
      <c r="Z72" s="348"/>
    </row>
    <row r="73" ht="12.0" customHeight="1">
      <c r="A73" s="348"/>
      <c r="B73" s="348"/>
      <c r="C73" s="348"/>
      <c r="D73" s="348"/>
      <c r="E73" s="348"/>
      <c r="F73" s="348"/>
      <c r="G73" s="348"/>
      <c r="H73" s="348"/>
      <c r="I73" s="348"/>
      <c r="J73" s="348"/>
      <c r="K73" s="348"/>
      <c r="L73" s="348"/>
      <c r="M73" s="348"/>
      <c r="N73" s="348"/>
      <c r="O73" s="348"/>
      <c r="P73" s="348"/>
      <c r="Q73" s="348"/>
      <c r="R73" s="348"/>
      <c r="S73" s="348"/>
      <c r="T73" s="348"/>
      <c r="U73" s="348"/>
      <c r="V73" s="348"/>
      <c r="W73" s="348"/>
      <c r="X73" s="348"/>
      <c r="Y73" s="348"/>
      <c r="Z73" s="348"/>
    </row>
    <row r="74" ht="12.0" customHeight="1">
      <c r="A74" s="348"/>
      <c r="B74" s="348"/>
      <c r="C74" s="348"/>
      <c r="D74" s="348"/>
      <c r="E74" s="348"/>
      <c r="F74" s="348"/>
      <c r="G74" s="348"/>
      <c r="H74" s="348"/>
      <c r="I74" s="348"/>
      <c r="J74" s="348"/>
      <c r="K74" s="348"/>
      <c r="L74" s="348"/>
      <c r="M74" s="348"/>
      <c r="N74" s="348"/>
      <c r="O74" s="348"/>
      <c r="P74" s="348"/>
      <c r="Q74" s="348"/>
      <c r="R74" s="348"/>
      <c r="S74" s="348"/>
      <c r="T74" s="348"/>
      <c r="U74" s="348"/>
      <c r="V74" s="348"/>
      <c r="W74" s="348"/>
      <c r="X74" s="348"/>
      <c r="Y74" s="348"/>
      <c r="Z74" s="348"/>
    </row>
    <row r="75" ht="12.0" customHeight="1">
      <c r="A75" s="348"/>
      <c r="B75" s="348"/>
      <c r="C75" s="348"/>
      <c r="D75" s="348"/>
      <c r="E75" s="348"/>
      <c r="F75" s="348"/>
      <c r="G75" s="348"/>
      <c r="H75" s="348"/>
      <c r="I75" s="348"/>
      <c r="J75" s="348"/>
      <c r="K75" s="348"/>
      <c r="L75" s="348"/>
      <c r="M75" s="348"/>
      <c r="N75" s="348"/>
      <c r="O75" s="348"/>
      <c r="P75" s="348"/>
      <c r="Q75" s="348"/>
      <c r="R75" s="348"/>
      <c r="S75" s="348"/>
      <c r="T75" s="348"/>
      <c r="U75" s="348"/>
      <c r="V75" s="348"/>
      <c r="W75" s="348"/>
      <c r="X75" s="348"/>
      <c r="Y75" s="348"/>
      <c r="Z75" s="348"/>
    </row>
    <row r="76" ht="12.0" customHeight="1">
      <c r="A76" s="348"/>
      <c r="B76" s="348"/>
      <c r="C76" s="348"/>
      <c r="D76" s="348"/>
      <c r="E76" s="348"/>
      <c r="F76" s="348"/>
      <c r="G76" s="348"/>
      <c r="H76" s="348"/>
      <c r="I76" s="348"/>
      <c r="J76" s="348"/>
      <c r="K76" s="348"/>
      <c r="L76" s="348"/>
      <c r="M76" s="348"/>
      <c r="N76" s="348"/>
      <c r="O76" s="348"/>
      <c r="P76" s="348"/>
      <c r="Q76" s="348"/>
      <c r="R76" s="348"/>
      <c r="S76" s="348"/>
      <c r="T76" s="348"/>
      <c r="U76" s="348"/>
      <c r="V76" s="348"/>
      <c r="W76" s="348"/>
      <c r="X76" s="348"/>
      <c r="Y76" s="348"/>
      <c r="Z76" s="348"/>
    </row>
    <row r="77" ht="12.0" customHeight="1">
      <c r="A77" s="348"/>
      <c r="B77" s="348"/>
      <c r="C77" s="348"/>
      <c r="D77" s="348"/>
      <c r="E77" s="348"/>
      <c r="F77" s="348"/>
      <c r="G77" s="348"/>
      <c r="H77" s="348"/>
      <c r="I77" s="348"/>
      <c r="J77" s="348"/>
      <c r="K77" s="348"/>
      <c r="L77" s="348"/>
      <c r="M77" s="348"/>
      <c r="N77" s="348"/>
      <c r="O77" s="348"/>
      <c r="P77" s="348"/>
      <c r="Q77" s="348"/>
      <c r="R77" s="348"/>
      <c r="S77" s="348"/>
      <c r="T77" s="348"/>
      <c r="U77" s="348"/>
      <c r="V77" s="348"/>
      <c r="W77" s="348"/>
      <c r="X77" s="348"/>
      <c r="Y77" s="348"/>
      <c r="Z77" s="348"/>
    </row>
    <row r="78" ht="12.0" customHeight="1">
      <c r="A78" s="348"/>
      <c r="B78" s="348"/>
      <c r="C78" s="348"/>
      <c r="D78" s="348"/>
      <c r="E78" s="348"/>
      <c r="F78" s="348"/>
      <c r="G78" s="348"/>
      <c r="H78" s="348"/>
      <c r="I78" s="348"/>
      <c r="J78" s="348"/>
      <c r="K78" s="348"/>
      <c r="L78" s="348"/>
      <c r="M78" s="348"/>
      <c r="N78" s="348"/>
      <c r="O78" s="348"/>
      <c r="P78" s="348"/>
      <c r="Q78" s="348"/>
      <c r="R78" s="348"/>
      <c r="S78" s="348"/>
      <c r="T78" s="348"/>
      <c r="U78" s="348"/>
      <c r="V78" s="348"/>
      <c r="W78" s="348"/>
      <c r="X78" s="348"/>
      <c r="Y78" s="348"/>
      <c r="Z78" s="348"/>
    </row>
    <row r="79" ht="12.0" customHeight="1">
      <c r="A79" s="348"/>
      <c r="B79" s="348"/>
      <c r="C79" s="348"/>
      <c r="D79" s="348"/>
      <c r="E79" s="348"/>
      <c r="F79" s="348"/>
      <c r="G79" s="348"/>
      <c r="H79" s="348"/>
      <c r="I79" s="348"/>
      <c r="J79" s="348"/>
      <c r="K79" s="348"/>
      <c r="L79" s="348"/>
      <c r="M79" s="348"/>
      <c r="N79" s="348"/>
      <c r="O79" s="348"/>
      <c r="P79" s="348"/>
      <c r="Q79" s="348"/>
      <c r="R79" s="348"/>
      <c r="S79" s="348"/>
      <c r="T79" s="348"/>
      <c r="U79" s="348"/>
      <c r="V79" s="348"/>
      <c r="W79" s="348"/>
      <c r="X79" s="348"/>
      <c r="Y79" s="348"/>
      <c r="Z79" s="348"/>
    </row>
    <row r="80" ht="12.0" customHeight="1">
      <c r="A80" s="348"/>
      <c r="B80" s="348"/>
      <c r="C80" s="348"/>
      <c r="D80" s="348"/>
      <c r="E80" s="348"/>
      <c r="F80" s="348"/>
      <c r="G80" s="348"/>
      <c r="H80" s="348"/>
      <c r="I80" s="348"/>
      <c r="J80" s="348"/>
      <c r="K80" s="348"/>
      <c r="L80" s="348"/>
      <c r="M80" s="348"/>
      <c r="N80" s="348"/>
      <c r="O80" s="348"/>
      <c r="P80" s="348"/>
      <c r="Q80" s="348"/>
      <c r="R80" s="348"/>
      <c r="S80" s="348"/>
      <c r="T80" s="348"/>
      <c r="U80" s="348"/>
      <c r="V80" s="348"/>
      <c r="W80" s="348"/>
      <c r="X80" s="348"/>
      <c r="Y80" s="348"/>
      <c r="Z80" s="348"/>
    </row>
    <row r="81" ht="12.0" customHeight="1">
      <c r="A81" s="348"/>
      <c r="B81" s="348"/>
      <c r="C81" s="348"/>
      <c r="D81" s="348"/>
      <c r="E81" s="348"/>
      <c r="F81" s="348"/>
      <c r="G81" s="348"/>
      <c r="H81" s="348"/>
      <c r="I81" s="348"/>
      <c r="J81" s="348"/>
      <c r="K81" s="348"/>
      <c r="L81" s="348"/>
      <c r="M81" s="348"/>
      <c r="N81" s="348"/>
      <c r="O81" s="348"/>
      <c r="P81" s="348"/>
      <c r="Q81" s="348"/>
      <c r="R81" s="348"/>
      <c r="S81" s="348"/>
      <c r="T81" s="348"/>
      <c r="U81" s="348"/>
      <c r="V81" s="348"/>
      <c r="W81" s="348"/>
      <c r="X81" s="348"/>
      <c r="Y81" s="348"/>
      <c r="Z81" s="348"/>
    </row>
    <row r="82" ht="12.0" customHeight="1">
      <c r="A82" s="348"/>
      <c r="B82" s="348"/>
      <c r="C82" s="348"/>
      <c r="D82" s="348"/>
      <c r="E82" s="348"/>
      <c r="F82" s="348"/>
      <c r="G82" s="348"/>
      <c r="H82" s="348"/>
      <c r="I82" s="348"/>
      <c r="J82" s="348"/>
      <c r="K82" s="348"/>
      <c r="L82" s="348"/>
      <c r="M82" s="348"/>
      <c r="N82" s="348"/>
      <c r="O82" s="348"/>
      <c r="P82" s="348"/>
      <c r="Q82" s="348"/>
      <c r="R82" s="348"/>
      <c r="S82" s="348"/>
      <c r="T82" s="348"/>
      <c r="U82" s="348"/>
      <c r="V82" s="348"/>
      <c r="W82" s="348"/>
      <c r="X82" s="348"/>
      <c r="Y82" s="348"/>
      <c r="Z82" s="348"/>
    </row>
    <row r="83" ht="12.0" customHeight="1">
      <c r="A83" s="348"/>
      <c r="B83" s="348"/>
      <c r="C83" s="348"/>
      <c r="D83" s="348"/>
      <c r="E83" s="348"/>
      <c r="F83" s="348"/>
      <c r="G83" s="348"/>
      <c r="H83" s="348"/>
      <c r="I83" s="348"/>
      <c r="J83" s="348"/>
      <c r="K83" s="348"/>
      <c r="L83" s="348"/>
      <c r="M83" s="348"/>
      <c r="N83" s="348"/>
      <c r="O83" s="348"/>
      <c r="P83" s="348"/>
      <c r="Q83" s="348"/>
      <c r="R83" s="348"/>
      <c r="S83" s="348"/>
      <c r="T83" s="348"/>
      <c r="U83" s="348"/>
      <c r="V83" s="348"/>
      <c r="W83" s="348"/>
      <c r="X83" s="348"/>
      <c r="Y83" s="348"/>
      <c r="Z83" s="348"/>
    </row>
    <row r="84" ht="12.0" customHeight="1">
      <c r="A84" s="348"/>
      <c r="B84" s="348"/>
      <c r="C84" s="348"/>
      <c r="D84" s="348"/>
      <c r="E84" s="348"/>
      <c r="F84" s="348"/>
      <c r="G84" s="348"/>
      <c r="H84" s="348"/>
      <c r="I84" s="348"/>
      <c r="J84" s="348"/>
      <c r="K84" s="348"/>
      <c r="L84" s="348"/>
      <c r="M84" s="348"/>
      <c r="N84" s="348"/>
      <c r="O84" s="348"/>
      <c r="P84" s="348"/>
      <c r="Q84" s="348"/>
      <c r="R84" s="348"/>
      <c r="S84" s="348"/>
      <c r="T84" s="348"/>
      <c r="U84" s="348"/>
      <c r="V84" s="348"/>
      <c r="W84" s="348"/>
      <c r="X84" s="348"/>
      <c r="Y84" s="348"/>
      <c r="Z84" s="348"/>
    </row>
    <row r="85" ht="12.0" customHeight="1">
      <c r="A85" s="348"/>
      <c r="B85" s="348"/>
      <c r="C85" s="348"/>
      <c r="D85" s="348"/>
      <c r="E85" s="348"/>
      <c r="F85" s="348"/>
      <c r="G85" s="348"/>
      <c r="H85" s="348"/>
      <c r="I85" s="348"/>
      <c r="J85" s="348"/>
      <c r="K85" s="348"/>
      <c r="L85" s="348"/>
      <c r="M85" s="348"/>
      <c r="N85" s="348"/>
      <c r="O85" s="348"/>
      <c r="P85" s="348"/>
      <c r="Q85" s="348"/>
      <c r="R85" s="348"/>
      <c r="S85" s="348"/>
      <c r="T85" s="348"/>
      <c r="U85" s="348"/>
      <c r="V85" s="348"/>
      <c r="W85" s="348"/>
      <c r="X85" s="348"/>
      <c r="Y85" s="348"/>
      <c r="Z85" s="348"/>
    </row>
    <row r="86" ht="12.0" customHeight="1">
      <c r="A86" s="348"/>
      <c r="B86" s="348"/>
      <c r="C86" s="348"/>
      <c r="D86" s="348"/>
      <c r="E86" s="348"/>
      <c r="F86" s="348"/>
      <c r="G86" s="348"/>
      <c r="H86" s="348"/>
      <c r="I86" s="348"/>
      <c r="J86" s="348"/>
      <c r="K86" s="348"/>
      <c r="L86" s="348"/>
      <c r="M86" s="348"/>
      <c r="N86" s="348"/>
      <c r="O86" s="348"/>
      <c r="P86" s="348"/>
      <c r="Q86" s="348"/>
      <c r="R86" s="348"/>
      <c r="S86" s="348"/>
      <c r="T86" s="348"/>
      <c r="U86" s="348"/>
      <c r="V86" s="348"/>
      <c r="W86" s="348"/>
      <c r="X86" s="348"/>
      <c r="Y86" s="348"/>
      <c r="Z86" s="348"/>
    </row>
    <row r="87" ht="12.0" customHeight="1">
      <c r="A87" s="348"/>
      <c r="B87" s="348"/>
      <c r="C87" s="348"/>
      <c r="D87" s="348"/>
      <c r="E87" s="348"/>
      <c r="F87" s="348"/>
      <c r="G87" s="348"/>
      <c r="H87" s="348"/>
      <c r="I87" s="348"/>
      <c r="J87" s="348"/>
      <c r="K87" s="348"/>
      <c r="L87" s="348"/>
      <c r="M87" s="348"/>
      <c r="N87" s="348"/>
      <c r="O87" s="348"/>
      <c r="P87" s="348"/>
      <c r="Q87" s="348"/>
      <c r="R87" s="348"/>
      <c r="S87" s="348"/>
      <c r="T87" s="348"/>
      <c r="U87" s="348"/>
      <c r="V87" s="348"/>
      <c r="W87" s="348"/>
      <c r="X87" s="348"/>
      <c r="Y87" s="348"/>
      <c r="Z87" s="348"/>
    </row>
    <row r="88" ht="12.0" customHeight="1">
      <c r="A88" s="348"/>
      <c r="B88" s="348"/>
      <c r="C88" s="348"/>
      <c r="D88" s="348"/>
      <c r="E88" s="348"/>
      <c r="F88" s="348"/>
      <c r="G88" s="348"/>
      <c r="H88" s="348"/>
      <c r="I88" s="348"/>
      <c r="J88" s="348"/>
      <c r="K88" s="348"/>
      <c r="L88" s="348"/>
      <c r="M88" s="348"/>
      <c r="N88" s="348"/>
      <c r="O88" s="348"/>
      <c r="P88" s="348"/>
      <c r="Q88" s="348"/>
      <c r="R88" s="348"/>
      <c r="S88" s="348"/>
      <c r="T88" s="348"/>
      <c r="U88" s="348"/>
      <c r="V88" s="348"/>
      <c r="W88" s="348"/>
      <c r="X88" s="348"/>
      <c r="Y88" s="348"/>
      <c r="Z88" s="348"/>
    </row>
    <row r="89" ht="12.0" customHeight="1">
      <c r="A89" s="348"/>
      <c r="B89" s="348"/>
      <c r="C89" s="348"/>
      <c r="D89" s="348"/>
      <c r="E89" s="348"/>
      <c r="F89" s="348"/>
      <c r="G89" s="348"/>
      <c r="H89" s="348"/>
      <c r="I89" s="348"/>
      <c r="J89" s="348"/>
      <c r="K89" s="348"/>
      <c r="L89" s="348"/>
      <c r="M89" s="348"/>
      <c r="N89" s="348"/>
      <c r="O89" s="348"/>
      <c r="P89" s="348"/>
      <c r="Q89" s="348"/>
      <c r="R89" s="348"/>
      <c r="S89" s="348"/>
      <c r="T89" s="348"/>
      <c r="U89" s="348"/>
      <c r="V89" s="348"/>
      <c r="W89" s="348"/>
      <c r="X89" s="348"/>
      <c r="Y89" s="348"/>
      <c r="Z89" s="348"/>
    </row>
    <row r="90" ht="12.0" customHeight="1">
      <c r="A90" s="348"/>
      <c r="B90" s="348"/>
      <c r="C90" s="348"/>
      <c r="D90" s="348"/>
      <c r="E90" s="348"/>
      <c r="F90" s="348"/>
      <c r="G90" s="348"/>
      <c r="H90" s="348"/>
      <c r="I90" s="348"/>
      <c r="J90" s="348"/>
      <c r="K90" s="348"/>
      <c r="L90" s="348"/>
      <c r="M90" s="348"/>
      <c r="N90" s="348"/>
      <c r="O90" s="348"/>
      <c r="P90" s="348"/>
      <c r="Q90" s="348"/>
      <c r="R90" s="348"/>
      <c r="S90" s="348"/>
      <c r="T90" s="348"/>
      <c r="U90" s="348"/>
      <c r="V90" s="348"/>
      <c r="W90" s="348"/>
      <c r="X90" s="348"/>
      <c r="Y90" s="348"/>
      <c r="Z90" s="348"/>
    </row>
    <row r="91" ht="12.0" customHeight="1">
      <c r="A91" s="348"/>
      <c r="B91" s="348"/>
      <c r="C91" s="348"/>
      <c r="D91" s="348"/>
      <c r="E91" s="348"/>
      <c r="F91" s="348"/>
      <c r="G91" s="348"/>
      <c r="H91" s="348"/>
      <c r="I91" s="348"/>
      <c r="J91" s="348"/>
      <c r="K91" s="348"/>
      <c r="L91" s="348"/>
      <c r="M91" s="348"/>
      <c r="N91" s="348"/>
      <c r="O91" s="348"/>
      <c r="P91" s="348"/>
      <c r="Q91" s="348"/>
      <c r="R91" s="348"/>
      <c r="S91" s="348"/>
      <c r="T91" s="348"/>
      <c r="U91" s="348"/>
      <c r="V91" s="348"/>
      <c r="W91" s="348"/>
      <c r="X91" s="348"/>
      <c r="Y91" s="348"/>
      <c r="Z91" s="348"/>
    </row>
    <row r="92" ht="12.0" customHeight="1">
      <c r="A92" s="348"/>
      <c r="B92" s="348"/>
      <c r="C92" s="348"/>
      <c r="D92" s="348"/>
      <c r="E92" s="348"/>
      <c r="F92" s="348"/>
      <c r="G92" s="348"/>
      <c r="H92" s="348"/>
      <c r="I92" s="348"/>
      <c r="J92" s="348"/>
      <c r="K92" s="348"/>
      <c r="L92" s="348"/>
      <c r="M92" s="348"/>
      <c r="N92" s="348"/>
      <c r="O92" s="348"/>
      <c r="P92" s="348"/>
      <c r="Q92" s="348"/>
      <c r="R92" s="348"/>
      <c r="S92" s="348"/>
      <c r="T92" s="348"/>
      <c r="U92" s="348"/>
      <c r="V92" s="348"/>
      <c r="W92" s="348"/>
      <c r="X92" s="348"/>
      <c r="Y92" s="348"/>
      <c r="Z92" s="348"/>
    </row>
    <row r="93" ht="12.0" customHeight="1">
      <c r="A93" s="348"/>
      <c r="B93" s="348"/>
      <c r="C93" s="348"/>
      <c r="D93" s="348"/>
      <c r="E93" s="348"/>
      <c r="F93" s="348"/>
      <c r="G93" s="348"/>
      <c r="H93" s="348"/>
      <c r="I93" s="348"/>
      <c r="J93" s="348"/>
      <c r="K93" s="348"/>
      <c r="L93" s="348"/>
      <c r="M93" s="348"/>
      <c r="N93" s="348"/>
      <c r="O93" s="348"/>
      <c r="P93" s="348"/>
      <c r="Q93" s="348"/>
      <c r="R93" s="348"/>
      <c r="S93" s="348"/>
      <c r="T93" s="348"/>
      <c r="U93" s="348"/>
      <c r="V93" s="348"/>
      <c r="W93" s="348"/>
      <c r="X93" s="348"/>
      <c r="Y93" s="348"/>
      <c r="Z93" s="348"/>
    </row>
    <row r="94" ht="12.0" customHeight="1">
      <c r="A94" s="348"/>
      <c r="B94" s="348"/>
      <c r="C94" s="348"/>
      <c r="D94" s="348"/>
      <c r="E94" s="348"/>
      <c r="F94" s="348"/>
      <c r="G94" s="348"/>
      <c r="H94" s="348"/>
      <c r="I94" s="348"/>
      <c r="J94" s="348"/>
      <c r="K94" s="348"/>
      <c r="L94" s="348"/>
      <c r="M94" s="348"/>
      <c r="N94" s="348"/>
      <c r="O94" s="348"/>
      <c r="P94" s="348"/>
      <c r="Q94" s="348"/>
      <c r="R94" s="348"/>
      <c r="S94" s="348"/>
      <c r="T94" s="348"/>
      <c r="U94" s="348"/>
      <c r="V94" s="348"/>
      <c r="W94" s="348"/>
      <c r="X94" s="348"/>
      <c r="Y94" s="348"/>
      <c r="Z94" s="348"/>
    </row>
    <row r="95" ht="12.0" customHeight="1">
      <c r="A95" s="348"/>
      <c r="B95" s="348"/>
      <c r="C95" s="348"/>
      <c r="D95" s="348"/>
      <c r="E95" s="348"/>
      <c r="F95" s="348"/>
      <c r="G95" s="348"/>
      <c r="H95" s="348"/>
      <c r="I95" s="348"/>
      <c r="J95" s="348"/>
      <c r="K95" s="348"/>
      <c r="L95" s="348"/>
      <c r="M95" s="348"/>
      <c r="N95" s="348"/>
      <c r="O95" s="348"/>
      <c r="P95" s="348"/>
      <c r="Q95" s="348"/>
      <c r="R95" s="348"/>
      <c r="S95" s="348"/>
      <c r="T95" s="348"/>
      <c r="U95" s="348"/>
      <c r="V95" s="348"/>
      <c r="W95" s="348"/>
      <c r="X95" s="348"/>
      <c r="Y95" s="348"/>
      <c r="Z95" s="348"/>
    </row>
    <row r="96" ht="12.0" customHeight="1">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c r="Y96" s="348"/>
      <c r="Z96" s="348"/>
    </row>
    <row r="97" ht="12.0" customHeight="1">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row>
    <row r="98" ht="12.0" customHeight="1">
      <c r="A98" s="348"/>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row>
    <row r="99" ht="12.0" customHeight="1">
      <c r="A99" s="348"/>
      <c r="B99" s="348"/>
      <c r="C99" s="348"/>
      <c r="D99" s="348"/>
      <c r="E99" s="348"/>
      <c r="F99" s="348"/>
      <c r="G99" s="348"/>
      <c r="H99" s="348"/>
      <c r="I99" s="348"/>
      <c r="J99" s="348"/>
      <c r="K99" s="348"/>
      <c r="L99" s="348"/>
      <c r="M99" s="348"/>
      <c r="N99" s="348"/>
      <c r="O99" s="348"/>
      <c r="P99" s="348"/>
      <c r="Q99" s="348"/>
      <c r="R99" s="348"/>
      <c r="S99" s="348"/>
      <c r="T99" s="348"/>
      <c r="U99" s="348"/>
      <c r="V99" s="348"/>
      <c r="W99" s="348"/>
      <c r="X99" s="348"/>
      <c r="Y99" s="348"/>
      <c r="Z99" s="348"/>
    </row>
    <row r="100" ht="12.0" customHeight="1">
      <c r="A100" s="348"/>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c r="Y100" s="348"/>
      <c r="Z100" s="348"/>
    </row>
    <row r="101" ht="12.0" customHeight="1">
      <c r="A101" s="348"/>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row>
    <row r="102" ht="12.0" customHeight="1">
      <c r="A102" s="348"/>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row>
    <row r="103" ht="12.0" customHeight="1">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ht="12.0" customHeight="1">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ht="12.0" customHeigh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ht="12.0" customHeight="1">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ht="12.0" customHeight="1">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ht="12.0" customHeight="1">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ht="12.0" customHeight="1">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ht="12.0" customHeight="1">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ht="12.0" customHeight="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ht="12.0" customHeight="1">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ht="12.0" customHeight="1">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ht="12.0" customHeight="1">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ht="12.0" customHeight="1">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ht="12.0" customHeight="1">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ht="12.0" customHeight="1">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ht="12.0" customHeight="1">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ht="12.0" customHeight="1">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ht="12.0" customHeight="1">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ht="12.0" customHeight="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ht="12.0" customHeight="1">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ht="12.0" customHeight="1">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ht="12.0" customHeight="1">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ht="12.0" customHeight="1">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ht="12.0" customHeight="1">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ht="12.0" customHeight="1">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ht="12.0" customHeight="1">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ht="12.0" customHeight="1">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ht="12.0"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ht="12.0" customHeight="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ht="12.0" customHeight="1">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ht="12.0" customHeight="1">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ht="12.0" customHeight="1">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ht="12.0" customHeight="1">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ht="12.0" customHeight="1">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ht="12.0" customHeight="1">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ht="12.0" customHeight="1">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ht="12.0" customHeight="1">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ht="12.0" customHeight="1">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ht="12.0" customHeight="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ht="12.0" customHeight="1">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ht="12.0" customHeight="1">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ht="12.0" customHeight="1">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ht="12.0" customHeight="1">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ht="12.0" customHeight="1">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ht="12.0" customHeight="1">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ht="12.0" customHeight="1">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ht="12.0" customHeight="1">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ht="12.0" customHeight="1">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ht="12.0" customHeight="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ht="12.0" customHeight="1">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ht="12.0" customHeight="1">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ht="12.0" customHeight="1">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ht="12.0" customHeight="1">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ht="12.0" customHeight="1">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ht="12.0" customHeight="1">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ht="12.0" customHeight="1">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ht="12.0" customHeight="1">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ht="12.0" customHeight="1">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ht="12.0" customHeight="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ht="12.0" customHeight="1">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ht="12.0" customHeight="1">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ht="12.0" customHeight="1">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ht="12.0" customHeight="1">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ht="12.0" customHeight="1">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ht="12.0" customHeight="1">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ht="12.0" customHeight="1">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ht="12.0" customHeight="1">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ht="12.0" customHeight="1">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ht="12.0" customHeight="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ht="12.0" customHeight="1">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ht="12.0" customHeight="1">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ht="12.0" customHeight="1">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ht="12.0" customHeight="1">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ht="12.0" customHeight="1">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ht="12.0" customHeight="1">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ht="12.0" customHeight="1">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ht="12.0" customHeight="1">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ht="12.0" customHeight="1">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ht="12.0" customHeight="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ht="12.0" customHeight="1">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ht="12.0" customHeight="1">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ht="12.0" customHeight="1">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ht="12.0" customHeight="1">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ht="12.0" customHeight="1">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ht="12.0" customHeight="1">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ht="12.0" customHeight="1">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ht="12.0" customHeight="1">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ht="12.0" customHeight="1">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ht="12.0" customHeight="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ht="12.0" customHeight="1">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ht="12.0" customHeight="1">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ht="12.0" customHeight="1">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ht="12.0" customHeight="1">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ht="12.0" customHeight="1">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ht="12.0" customHeight="1">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ht="12.0" customHeight="1">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ht="12.0" customHeight="1">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ht="12.0" customHeight="1">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ht="12.0" customHeight="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ht="12.0" customHeight="1">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ht="12.0" customHeight="1">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ht="12.0" customHeight="1">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ht="12.0" customHeight="1">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ht="12.0" customHeight="1">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ht="12.0" customHeight="1">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ht="12.0" customHeight="1">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ht="12.0" customHeight="1">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ht="12.0" customHeight="1">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ht="12.0" customHeight="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ht="12.0" customHeight="1">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ht="12.0" customHeight="1">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ht="12.0" customHeight="1">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ht="12.0" customHeight="1">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ht="12.0" customHeight="1">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ht="12.0" customHeight="1">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ht="12.0" customHeight="1">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ht="12.0" customHeight="1">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ht="12.0" customHeight="1">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ht="12.0" customHeight="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ht="12.0" customHeight="1">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ht="12.0" customHeight="1">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ht="12.0" customHeight="1">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ht="12.0" customHeight="1">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ht="12.0" customHeight="1">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ht="12.0" customHeight="1">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ht="12.0" customHeight="1">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ht="12.0" customHeight="1">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ht="12.0" customHeight="1">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ht="12.0" customHeight="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ht="12.0" customHeight="1">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ht="12.0" customHeight="1">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ht="12.0" customHeight="1">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ht="12.0" customHeight="1">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ht="12.0" customHeight="1">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ht="12.0" customHeight="1">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ht="12.0" customHeight="1">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ht="12.0" customHeight="1">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ht="12.0" customHeight="1">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ht="12.0" customHeight="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ht="12.0" customHeight="1">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ht="12.0" customHeight="1">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ht="12.0" customHeight="1">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ht="12.0" customHeight="1">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ht="12.0" customHeight="1">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ht="12.0" customHeight="1">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ht="12.0" customHeight="1">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ht="12.0" customHeight="1">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ht="12.0" customHeight="1">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ht="12.0" customHeight="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ht="12.0" customHeight="1">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ht="12.0" customHeight="1">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ht="12.0" customHeight="1">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ht="12.0" customHeight="1">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ht="12.0" customHeight="1">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ht="12.0" customHeight="1">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ht="12.0" customHeight="1">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ht="12.0" customHeight="1">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ht="12.0" customHeight="1">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ht="12.0" customHeight="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ht="12.0" customHeight="1">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ht="12.0" customHeight="1">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ht="12.0" customHeight="1">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ht="12.0" customHeight="1">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ht="12.0" customHeight="1">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ht="12.0" customHeight="1">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ht="12.0" customHeight="1">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ht="12.0" customHeight="1">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ht="12.0" customHeight="1">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ht="12.0" customHeight="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ht="12.0" customHeight="1">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ht="12.0" customHeight="1">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ht="12.0" customHeight="1">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ht="12.0" customHeight="1">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ht="12.0" customHeight="1">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ht="12.0" customHeight="1">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ht="12.0" customHeight="1">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ht="12.0" customHeight="1">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ht="12.0" customHeight="1">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ht="12.0" customHeight="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ht="12.0" customHeight="1">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ht="12.0" customHeight="1">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ht="12.0" customHeight="1">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ht="12.0" customHeight="1">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ht="12.0" customHeight="1">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ht="12.0" customHeight="1">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ht="12.0" customHeight="1">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ht="12.0" customHeight="1">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ht="12.0" customHeight="1">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ht="12.0" customHeight="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ht="12.0" customHeight="1">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ht="12.0" customHeight="1">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ht="12.0" customHeight="1">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ht="12.0" customHeight="1">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ht="12.0" customHeight="1">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ht="12.0" customHeight="1">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ht="12.0" customHeight="1">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ht="12.0" customHeight="1">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ht="12.0" customHeight="1">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ht="12.0" customHeight="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ht="12.0" customHeight="1">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ht="12.0" customHeight="1">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ht="12.0" customHeight="1">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ht="12.0" customHeight="1">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ht="12.0" customHeight="1">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ht="12.0" customHeight="1">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ht="12.0" customHeight="1">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ht="12.0" customHeight="1">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ht="12.0" customHeight="1">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ht="12.0" customHeight="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ht="12.0" customHeight="1">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ht="12.0" customHeight="1">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ht="12.0" customHeight="1">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ht="12.0" customHeight="1">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ht="12.0" customHeight="1">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ht="12.0" customHeight="1">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ht="12.0" customHeight="1">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ht="12.0" customHeight="1">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ht="12.0" customHeight="1">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ht="12.0" customHeight="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ht="12.0" customHeight="1">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ht="12.0" customHeight="1">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ht="12.0" customHeight="1">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ht="12.0" customHeight="1">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ht="12.0" customHeight="1">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ht="12.0" customHeight="1">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ht="12.0" customHeight="1">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ht="12.0" customHeight="1">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ht="12.0" customHeight="1">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ht="12.0" customHeight="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ht="12.0" customHeight="1">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ht="12.0" customHeight="1">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ht="12.0" customHeight="1">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ht="12.0" customHeight="1">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ht="12.0" customHeight="1">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ht="12.0" customHeight="1">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ht="12.0" customHeight="1">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ht="12.0" customHeight="1">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ht="12.0" customHeight="1">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ht="12.0" customHeight="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ht="12.0" customHeight="1">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ht="12.0" customHeight="1">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ht="12.0" customHeight="1">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ht="12.0" customHeight="1">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ht="12.0" customHeight="1">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ht="12.0" customHeight="1">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ht="12.0" customHeight="1">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ht="12.0" customHeight="1">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ht="12.0" customHeight="1">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ht="12.0" customHeight="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ht="12.0" customHeight="1">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ht="12.0" customHeight="1">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ht="12.0" customHeight="1">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ht="12.0" customHeight="1">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ht="12.0" customHeight="1">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ht="12.0" customHeight="1">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ht="12.0" customHeight="1">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ht="12.0" customHeight="1">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ht="12.0" customHeight="1">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ht="12.0" customHeight="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ht="12.0" customHeight="1">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ht="12.0" customHeight="1">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ht="12.0" customHeight="1">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ht="12.0" customHeight="1">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ht="12.0" customHeight="1">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ht="12.0" customHeight="1">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ht="12.0" customHeight="1">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ht="12.0" customHeight="1">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ht="12.0" customHeight="1">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ht="12.0" customHeight="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ht="12.0" customHeight="1">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ht="12.0" customHeight="1">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ht="12.0" customHeight="1">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ht="12.0" customHeight="1">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ht="12.0" customHeight="1">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ht="12.0" customHeight="1">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ht="12.0" customHeight="1">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ht="12.0" customHeight="1">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ht="12.0" customHeight="1">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ht="12.0" customHeight="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ht="12.0" customHeight="1">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ht="12.0" customHeight="1">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ht="12.0" customHeight="1">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ht="12.0" customHeight="1">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ht="12.0" customHeight="1">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ht="12.0" customHeight="1">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ht="12.0"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ht="12.0"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ht="12.0" customHeight="1">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ht="12.0" customHeight="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ht="12.0" customHeight="1">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ht="12.0" customHeight="1">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ht="12.0" customHeight="1">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ht="12.0" customHeight="1">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ht="12.0" customHeight="1">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ht="12.0" customHeight="1">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ht="12.0" customHeight="1">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ht="12.0" customHeight="1">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ht="12.0" customHeight="1">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ht="12.0" customHeight="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ht="12.0" customHeight="1">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ht="12.0" customHeight="1">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ht="12.0" customHeight="1">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ht="12.0" customHeight="1">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ht="12.0" customHeight="1">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ht="12.0" customHeight="1">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ht="12.0" customHeight="1">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ht="12.0" customHeight="1">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ht="12.0" customHeight="1">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ht="12.0" customHeight="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ht="12.0" customHeight="1">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ht="12.0" customHeight="1">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ht="12.0" customHeight="1">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ht="12.0" customHeight="1">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ht="12.0" customHeight="1">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ht="12.0" customHeight="1">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ht="12.0" customHeight="1">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ht="12.0" customHeight="1">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ht="12.0" customHeight="1">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ht="12.0" customHeight="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ht="12.0" customHeight="1">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ht="12.0" customHeight="1">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ht="12.0" customHeight="1">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ht="12.0" customHeight="1">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ht="12.0" customHeight="1">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ht="12.0" customHeight="1">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ht="12.0" customHeight="1">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ht="12.0" customHeight="1">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ht="12.0" customHeight="1">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ht="12.0" customHeight="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ht="12.0" customHeight="1">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ht="12.0" customHeight="1">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ht="12.0" customHeight="1">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ht="12.0" customHeight="1">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ht="12.0" customHeight="1">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ht="12.0" customHeight="1">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ht="12.0" customHeight="1">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ht="12.0" customHeight="1">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ht="12.0" customHeight="1">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ht="12.0" customHeight="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ht="12.0" customHeight="1">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ht="12.0" customHeight="1">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ht="12.0" customHeight="1">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ht="12.0" customHeight="1">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ht="12.0" customHeight="1">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ht="12.0" customHeight="1">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ht="12.0" customHeight="1">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ht="12.0" customHeight="1">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ht="12.0" customHeight="1">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ht="12.0" customHeight="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ht="12.0" customHeight="1">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ht="12.0" customHeight="1">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ht="12.0" customHeight="1">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ht="12.0" customHeight="1">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ht="12.0" customHeight="1">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ht="12.0" customHeight="1">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ht="12.0" customHeight="1">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ht="12.0" customHeight="1">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ht="12.0" customHeight="1">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ht="12.0" customHeight="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ht="12.0" customHeight="1">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ht="12.0" customHeight="1">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ht="12.0" customHeight="1">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ht="12.0" customHeight="1">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ht="12.0" customHeight="1">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ht="12.0" customHeight="1">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ht="12.0" customHeight="1">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ht="12.0" customHeight="1">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ht="12.0" customHeight="1">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ht="12.0" customHeight="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ht="12.0" customHeight="1">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ht="12.0" customHeight="1">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ht="12.0" customHeight="1">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ht="12.0" customHeight="1">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ht="12.0" customHeight="1">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ht="12.0" customHeight="1">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ht="12.0" customHeight="1">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ht="12.0" customHeight="1">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ht="12.0" customHeight="1">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ht="12.0" customHeight="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ht="12.0" customHeight="1">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ht="12.0" customHeight="1">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ht="12.0" customHeight="1">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ht="12.0" customHeight="1">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ht="12.0" customHeight="1">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ht="12.0" customHeight="1">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ht="12.0" customHeight="1">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ht="12.0" customHeight="1">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ht="12.0" customHeight="1">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ht="12.0" customHeight="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ht="12.0" customHeight="1">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ht="12.0" customHeight="1">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ht="12.0" customHeight="1">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ht="12.0" customHeight="1">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ht="12.0" customHeight="1">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ht="12.0" customHeight="1">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ht="12.0" customHeight="1">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ht="12.0" customHeight="1">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ht="12.0" customHeight="1">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ht="12.0" customHeight="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ht="12.0" customHeight="1">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ht="12.0" customHeight="1">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ht="12.0" customHeight="1">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ht="12.0" customHeight="1">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ht="12.0" customHeight="1">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ht="12.0" customHeight="1">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ht="12.0" customHeight="1">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ht="12.0" customHeight="1">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ht="12.0" customHeight="1">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ht="12.0" customHeight="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ht="12.0" customHeight="1">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ht="12.0" customHeight="1">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ht="12.0" customHeight="1">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ht="12.0" customHeight="1">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ht="12.0" customHeight="1">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ht="12.0" customHeight="1">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ht="12.0" customHeight="1">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ht="12.0" customHeight="1">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ht="12.0" customHeight="1">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ht="12.0" customHeight="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ht="12.0" customHeight="1">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ht="12.0" customHeight="1">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ht="12.0" customHeight="1">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ht="12.0" customHeight="1">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ht="12.0" customHeight="1">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ht="12.0" customHeight="1">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ht="12.0" customHeight="1">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ht="12.0" customHeight="1">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ht="12.0" customHeight="1">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ht="12.0" customHeight="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ht="12.0" customHeight="1">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ht="12.0" customHeight="1">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ht="12.0" customHeight="1">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ht="12.0" customHeight="1">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ht="12.0" customHeight="1">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ht="12.0" customHeight="1">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ht="12.0" customHeight="1">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ht="12.0" customHeight="1">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ht="12.0" customHeight="1">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ht="12.0" customHeight="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ht="12.0" customHeight="1">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ht="12.0" customHeight="1">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ht="12.0" customHeight="1">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ht="12.0" customHeight="1">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ht="12.0" customHeight="1">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ht="12.0" customHeight="1">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ht="12.0" customHeight="1">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ht="12.0" customHeight="1">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ht="12.0" customHeight="1">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ht="12.0" customHeight="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ht="12.0" customHeight="1">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ht="12.0" customHeight="1">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ht="12.0" customHeight="1">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ht="12.0" customHeight="1">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ht="12.0" customHeight="1">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ht="12.0" customHeight="1">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ht="12.0" customHeight="1">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ht="12.0" customHeight="1">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ht="12.0" customHeight="1">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ht="12.0" customHeight="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ht="12.0" customHeight="1">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ht="12.0" customHeight="1">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ht="12.0" customHeight="1">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ht="12.0" customHeight="1">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ht="12.0" customHeight="1">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ht="12.0" customHeight="1">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ht="12.0" customHeight="1">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ht="12.0" customHeight="1">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ht="12.0" customHeight="1">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ht="12.0" customHeight="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ht="12.0" customHeight="1">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ht="12.0" customHeight="1">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ht="12.0" customHeight="1">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ht="12.0" customHeight="1">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ht="12.0" customHeight="1">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ht="12.0" customHeight="1">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ht="12.0" customHeight="1">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ht="12.0" customHeight="1">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ht="12.0" customHeight="1">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ht="12.0" customHeight="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ht="12.0" customHeight="1">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ht="12.0" customHeight="1">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ht="12.0" customHeight="1">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ht="12.0" customHeight="1">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ht="12.0" customHeight="1">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ht="12.0" customHeight="1">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ht="12.0" customHeight="1">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ht="12.0" customHeight="1">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ht="12.0" customHeight="1">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ht="12.0" customHeight="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ht="12.0" customHeight="1">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ht="12.0" customHeight="1">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ht="12.0" customHeight="1">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ht="12.0" customHeight="1">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ht="12.0" customHeight="1">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ht="12.0" customHeight="1">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ht="12.0" customHeight="1">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ht="12.0" customHeight="1">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ht="12.0" customHeight="1">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ht="12.0" customHeight="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ht="12.0" customHeight="1">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ht="12.0" customHeight="1">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ht="12.0" customHeight="1">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ht="12.0" customHeight="1">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ht="12.0" customHeight="1">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ht="12.0" customHeight="1">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ht="12.0" customHeight="1">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ht="12.0" customHeight="1">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ht="12.0" customHeight="1">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ht="12.0" customHeight="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ht="12.0" customHeight="1">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ht="12.0" customHeight="1">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ht="12.0" customHeight="1">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ht="12.0" customHeight="1">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ht="12.0" customHeight="1">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ht="12.0" customHeight="1">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ht="12.0" customHeight="1">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ht="12.0" customHeight="1">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ht="12.0" customHeight="1">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ht="12.0" customHeight="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ht="12.0" customHeight="1">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ht="12.0" customHeight="1">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ht="12.0" customHeight="1">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ht="12.0" customHeight="1">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ht="12.0" customHeight="1">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ht="12.0" customHeight="1">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ht="12.0" customHeight="1">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ht="12.0" customHeight="1">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ht="12.0" customHeight="1">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ht="12.0" customHeight="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ht="12.0" customHeight="1">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ht="12.0" customHeight="1">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ht="12.0" customHeight="1">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ht="12.0" customHeight="1">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ht="12.0" customHeight="1">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ht="12.0" customHeight="1">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ht="12.0" customHeight="1">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ht="12.0" customHeight="1">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ht="12.0" customHeight="1">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ht="12.0" customHeight="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ht="12.0" customHeight="1">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ht="12.0" customHeight="1">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ht="12.0" customHeight="1">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ht="12.0" customHeight="1">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ht="12.0" customHeight="1">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ht="12.0" customHeight="1">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ht="12.0" customHeight="1">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ht="12.0" customHeight="1">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ht="12.0" customHeight="1">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ht="12.0" customHeight="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ht="12.0" customHeight="1">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ht="12.0" customHeight="1">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ht="12.0" customHeight="1">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ht="12.0" customHeight="1">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ht="12.0" customHeight="1">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ht="12.0" customHeight="1">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ht="12.0" customHeight="1">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ht="12.0" customHeight="1">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ht="12.0" customHeight="1">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ht="12.0" customHeight="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ht="12.0" customHeight="1">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ht="12.0" customHeight="1">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ht="12.0" customHeight="1">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ht="12.0" customHeight="1">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ht="12.0" customHeight="1">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ht="12.0" customHeight="1">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ht="12.0" customHeight="1">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ht="12.0" customHeight="1">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ht="12.0" customHeight="1">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ht="12.0" customHeight="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ht="12.0" customHeight="1">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ht="12.0" customHeight="1">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ht="12.0" customHeight="1">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ht="12.0" customHeight="1">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ht="12.0" customHeight="1">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ht="12.0" customHeight="1">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ht="12.0" customHeight="1">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ht="12.0" customHeight="1">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ht="12.0" customHeight="1">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ht="12.0" customHeight="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ht="12.0" customHeight="1">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ht="12.0" customHeight="1">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ht="12.0" customHeight="1">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ht="12.0" customHeight="1">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ht="12.0" customHeight="1">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ht="12.0" customHeight="1">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ht="12.0" customHeight="1">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ht="12.0" customHeight="1">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ht="12.0" customHeight="1">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ht="12.0" customHeight="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ht="12.0" customHeight="1">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ht="12.0" customHeight="1">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ht="12.0" customHeight="1">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ht="12.0" customHeight="1">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ht="12.0" customHeight="1">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ht="12.0" customHeight="1">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ht="12.0" customHeight="1">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ht="12.0" customHeight="1">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ht="12.0" customHeight="1">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ht="12.0" customHeight="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ht="12.0" customHeight="1">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ht="12.0" customHeight="1">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ht="12.0" customHeight="1">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ht="12.0" customHeight="1">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ht="12.0" customHeight="1">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ht="12.0" customHeight="1">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ht="12.0" customHeight="1">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ht="12.0" customHeight="1">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ht="12.0" customHeight="1">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ht="12.0" customHeight="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ht="12.0" customHeight="1">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ht="12.0" customHeight="1">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ht="12.0" customHeight="1">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ht="12.0" customHeight="1">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ht="12.0" customHeight="1">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ht="12.0" customHeight="1">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ht="12.0" customHeight="1">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ht="12.0" customHeight="1">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ht="12.0" customHeight="1">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ht="12.0" customHeight="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ht="12.0" customHeight="1">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ht="12.0" customHeight="1">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ht="12.0" customHeight="1">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ht="12.0" customHeight="1">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ht="12.0" customHeight="1">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ht="12.0" customHeight="1">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ht="12.0" customHeight="1">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ht="12.0" customHeight="1">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ht="12.0" customHeight="1">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ht="12.0" customHeight="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ht="12.0" customHeight="1">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ht="12.0" customHeight="1">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ht="12.0" customHeight="1">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ht="12.0" customHeight="1">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ht="12.0" customHeight="1">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ht="12.0" customHeight="1">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ht="12.0" customHeight="1">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ht="12.0" customHeight="1">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ht="12.0" customHeight="1">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ht="12.0" customHeight="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ht="12.0" customHeight="1">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ht="12.0" customHeight="1">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ht="12.0" customHeight="1">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ht="12.0" customHeight="1">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ht="12.0" customHeight="1">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ht="12.0" customHeight="1">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ht="12.0" customHeight="1">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ht="12.0" customHeight="1">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ht="12.0" customHeight="1">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ht="12.0" customHeight="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ht="12.0" customHeight="1">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ht="12.0" customHeight="1">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ht="12.0" customHeight="1">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ht="12.0" customHeight="1">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ht="12.0" customHeight="1">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ht="12.0" customHeight="1">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ht="12.0" customHeight="1">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ht="12.0" customHeight="1">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ht="12.0" customHeight="1">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ht="12.0" customHeight="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ht="12.0" customHeight="1">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ht="12.0" customHeight="1">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ht="12.0" customHeight="1">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ht="12.0" customHeight="1">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ht="12.0" customHeight="1">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ht="12.0" customHeight="1">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ht="12.0" customHeight="1">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ht="12.0" customHeight="1">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ht="12.0" customHeight="1">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ht="12.0" customHeight="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ht="12.0" customHeight="1">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ht="12.0" customHeight="1">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ht="12.0" customHeight="1">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ht="12.0" customHeight="1">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ht="12.0" customHeight="1">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ht="12.0" customHeight="1">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ht="12.0" customHeight="1">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ht="12.0" customHeight="1">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ht="12.0" customHeight="1">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ht="12.0" customHeight="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ht="12.0" customHeight="1">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ht="12.0" customHeight="1">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ht="12.0" customHeight="1">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ht="12.0" customHeight="1">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ht="12.0" customHeight="1">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ht="12.0" customHeight="1">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ht="12.0" customHeight="1">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ht="12.0" customHeight="1">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ht="12.0" customHeight="1">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ht="12.0" customHeight="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ht="12.0" customHeight="1">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ht="12.0" customHeight="1">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ht="12.0" customHeight="1">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ht="12.0" customHeight="1">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ht="12.0" customHeight="1">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ht="12.0" customHeight="1">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ht="12.0" customHeight="1">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ht="12.0" customHeight="1">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ht="12.0" customHeight="1">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ht="12.0" customHeight="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ht="12.0" customHeight="1">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ht="12.0" customHeight="1">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ht="12.0" customHeight="1">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ht="12.0" customHeight="1">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ht="12.0" customHeight="1">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ht="12.0" customHeight="1">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ht="12.0" customHeight="1">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ht="12.0" customHeight="1">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ht="12.0" customHeight="1">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ht="12.0" customHeight="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ht="12.0" customHeight="1">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ht="12.0" customHeight="1">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ht="12.0" customHeight="1">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ht="12.0" customHeight="1">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ht="12.0" customHeight="1">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ht="12.0" customHeight="1">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ht="12.0" customHeight="1">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ht="12.0" customHeight="1">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ht="12.0" customHeight="1">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ht="12.0" customHeight="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ht="12.0" customHeight="1">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ht="12.0" customHeight="1">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ht="12.0" customHeight="1">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ht="12.0" customHeight="1">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ht="12.0" customHeight="1">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ht="12.0" customHeight="1">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ht="12.0" customHeight="1">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ht="12.0" customHeight="1">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ht="12.0" customHeight="1">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ht="12.0" customHeight="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ht="12.0" customHeight="1">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ht="12.0" customHeight="1">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ht="12.0" customHeight="1">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ht="12.0" customHeight="1">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ht="12.0" customHeight="1">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ht="12.0" customHeight="1">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ht="12.0" customHeight="1">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ht="12.0" customHeight="1">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ht="12.0" customHeight="1">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ht="12.0" customHeight="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ht="12.0" customHeight="1">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ht="12.0" customHeight="1">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ht="12.0" customHeight="1">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ht="12.0" customHeight="1">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ht="12.0" customHeight="1">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ht="12.0" customHeight="1">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ht="12.0" customHeight="1">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ht="12.0" customHeight="1">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ht="12.0" customHeight="1">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ht="12.0" customHeight="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ht="12.0" customHeight="1">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ht="12.0" customHeight="1">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ht="12.0" customHeight="1">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ht="12.0" customHeight="1">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ht="12.0" customHeight="1">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ht="12.0" customHeight="1">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ht="12.0" customHeight="1">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ht="12.0" customHeight="1">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ht="12.0" customHeight="1">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ht="12.0" customHeight="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ht="12.0" customHeight="1">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ht="12.0" customHeight="1">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ht="12.0" customHeight="1">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ht="12.0" customHeight="1">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ht="12.0" customHeight="1">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ht="12.0" customHeight="1">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ht="12.0" customHeight="1">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ht="12.0" customHeight="1">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ht="12.0" customHeight="1">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ht="12.0" customHeight="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ht="12.0" customHeight="1">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ht="12.0" customHeight="1">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ht="12.0" customHeight="1">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ht="12.0" customHeight="1">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ht="12.0" customHeight="1">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ht="12.0" customHeight="1">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ht="12.0" customHeight="1">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ht="12.0" customHeight="1">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ht="12.0" customHeight="1">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ht="12.0" customHeight="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ht="12.0" customHeight="1">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ht="12.0" customHeight="1">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ht="12.0" customHeight="1">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ht="12.0" customHeight="1">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ht="12.0" customHeight="1">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ht="12.0" customHeight="1">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ht="12.0" customHeight="1">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ht="12.0" customHeight="1">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ht="12.0" customHeight="1">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ht="12.0" customHeight="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ht="12.0" customHeight="1">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ht="12.0" customHeight="1">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ht="12.0" customHeight="1">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ht="12.0" customHeight="1">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ht="12.0" customHeight="1">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ht="12.0" customHeight="1">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ht="12.0" customHeight="1">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ht="12.0" customHeight="1">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ht="12.0" customHeight="1">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ht="12.0" customHeight="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ht="12.0" customHeight="1">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ht="12.0" customHeight="1">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ht="12.0" customHeight="1">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ht="12.0" customHeight="1">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ht="12.0" customHeight="1">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ht="12.0" customHeight="1">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ht="12.0" customHeight="1">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ht="12.0" customHeight="1">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ht="12.0" customHeight="1">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ht="12.0" customHeight="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ht="12.0" customHeight="1">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ht="12.0" customHeight="1">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ht="12.0" customHeight="1">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ht="12.0" customHeight="1">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ht="12.0" customHeight="1">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ht="12.0" customHeight="1">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ht="12.0" customHeight="1">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ht="12.0" customHeight="1">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ht="12.0" customHeight="1">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ht="12.0" customHeight="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ht="12.0" customHeight="1">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ht="12.0" customHeight="1">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ht="12.0" customHeight="1">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ht="12.0" customHeight="1">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ht="12.0" customHeight="1">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ht="12.0" customHeight="1">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ht="12.0" customHeight="1">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ht="12.0" customHeight="1">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ht="12.0" customHeight="1">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ht="12.0" customHeight="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ht="12.0" customHeight="1">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ht="12.0" customHeight="1">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ht="12.0" customHeight="1">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ht="12.0" customHeight="1">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ht="12.0" customHeight="1">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ht="12.0" customHeight="1">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ht="12.0" customHeight="1">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ht="12.0" customHeight="1">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ht="12.0" customHeight="1">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ht="12.0" customHeight="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ht="12.0" customHeight="1">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ht="12.0" customHeight="1">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ht="12.0" customHeight="1">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ht="12.0" customHeight="1">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ht="12.0" customHeight="1">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ht="12.0" customHeight="1">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ht="12.0" customHeight="1">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ht="12.0" customHeight="1">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ht="12.0" customHeight="1">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ht="12.0" customHeight="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ht="12.0" customHeight="1">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ht="12.0" customHeight="1">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ht="12.0" customHeight="1">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ht="12.0" customHeight="1">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ht="12.0" customHeight="1">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ht="12.0" customHeight="1">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ht="12.0" customHeight="1">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ht="12.0" customHeight="1">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ht="12.0" customHeight="1">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ht="12.0" customHeight="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ht="12.0" customHeight="1">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ht="12.0" customHeight="1">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ht="12.0" customHeight="1">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ht="12.0" customHeight="1">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ht="12.0"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ht="12.0" customHeight="1">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ht="12.0" customHeight="1">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ht="12.0" customHeight="1">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ht="12.0" customHeight="1">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ht="12.0" customHeight="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ht="12.0" customHeight="1">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ht="12.0" customHeight="1">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ht="12.0" customHeight="1">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ht="12.0" customHeight="1">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ht="12.0" customHeight="1">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ht="12.0" customHeight="1">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ht="12.0" customHeight="1">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ht="12.0" customHeight="1">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ht="12.0" customHeight="1">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ht="12.0" customHeight="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ht="12.0" customHeight="1">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ht="12.0" customHeight="1">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ht="12.0" customHeight="1">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ht="12.0" customHeight="1">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ht="12.0" customHeight="1">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ht="12.0" customHeight="1">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ht="12.0" customHeight="1">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ht="12.0" customHeight="1">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ht="12.0" customHeight="1">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ht="12.0" customHeight="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ht="12.0" customHeight="1">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ht="12.0" customHeight="1">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ht="12.0" customHeight="1">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ht="12.0" customHeight="1">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ht="12.0" customHeight="1">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ht="12.0" customHeight="1">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ht="12.0" customHeight="1">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ht="12.0" customHeight="1">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row r="1000" ht="12.0" customHeight="1">
      <c r="A1000" s="348"/>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row>
  </sheetData>
  <conditionalFormatting sqref="B9">
    <cfRule type="cellIs" dxfId="2" priority="1" stopIfTrue="1" operator="equal">
      <formula>"TRUE"</formula>
    </cfRule>
  </conditionalFormatting>
  <conditionalFormatting sqref="B13:B1000">
    <cfRule type="cellIs" dxfId="2" priority="2" stopIfTrue="1" operator="equal">
      <formula>"TRUE"</formula>
    </cfRule>
  </conditionalFormatting>
  <conditionalFormatting sqref="F9">
    <cfRule type="cellIs" dxfId="2" priority="3" stopIfTrue="1" operator="equal">
      <formula>"TRUE"</formula>
    </cfRule>
  </conditionalFormatting>
  <conditionalFormatting sqref="F13:F25">
    <cfRule type="cellIs" dxfId="2" priority="4" stopIfTrue="1" operator="equal">
      <formula>"TRUE"</formula>
    </cfRule>
  </conditionalFormatting>
  <hyperlinks>
    <hyperlink r:id="rId4" ref="H5"/>
    <hyperlink display="Inputs" location="null!A1" ref="D13"/>
    <hyperlink display="Balance Sheet" location="BS_Check" ref="J13"/>
    <hyperlink display="Summary Financials" location="'Summary Financials'!A1" ref="D14"/>
    <hyperlink display="Balance Sheet" location="BS_Check_II" ref="J14"/>
    <hyperlink display="P&amp;L Statement" location="'P&amp;L Statement'!A1" ref="D15"/>
    <hyperlink display="Profit &amp; Loss" location="Nav_PL" ref="J15"/>
    <hyperlink display="Balance Sheet" location="'Balance Sheet'!A1" ref="D16"/>
    <hyperlink display="Balance Sheet" location="Nav_BS" ref="J16"/>
    <hyperlink display="Cash Flow Statement" location="'Cash Flow Statement'!A1" ref="D17"/>
    <hyperlink display="Cash Flow" location="Nav_CF" ref="J17"/>
    <hyperlink display="Returns on Invested Capital" location="'Returns on Invested Capital'!A1" ref="D18"/>
    <hyperlink display="Cash Flow" location="'Cash Flow Statement'!A1" ref="J18"/>
    <hyperlink display="Valuation" location="Valuation!A1" ref="D19"/>
    <hyperlink display="Corporation Tax" location="Nav_CT" ref="J19"/>
    <hyperlink display="Model" location="Model!A1" ref="D20"/>
    <hyperlink display="Working Capital" location="Nav_WC" ref="J20"/>
    <hyperlink display="Debt" location="Nav_Debt" ref="J21"/>
    <hyperlink display="Capex" location="Nav_Capex" ref="J22"/>
    <hyperlink display="Breakeven" location="Nav_Breakeven" ref="J23"/>
    <hyperlink display="ROI" location="Nav_ROI" ref="J24"/>
    <hyperlink display="Valuation" location="Nav_Valuation" ref="J25"/>
  </hyperlinks>
  <printOptions/>
  <pageMargins bottom="0.75" footer="0.0" header="0.0" left="0.7" right="0.7" top="0.75"/>
  <pageSetup paperSize="9" orientation="portrait"/>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sheetViews>
  <sheetFormatPr customHeight="1" defaultColWidth="14.43" defaultRowHeight="15.0"/>
  <cols>
    <col customWidth="1" min="1" max="1" width="4.71"/>
    <col customWidth="1" min="2" max="2" width="171.86"/>
    <col customWidth="1" min="3" max="26" width="8.86"/>
  </cols>
  <sheetData>
    <row r="1" ht="14.25" customHeight="1">
      <c r="B1" s="355"/>
    </row>
    <row r="2" ht="14.25" customHeight="1">
      <c r="B2" s="356" t="s">
        <v>405</v>
      </c>
    </row>
    <row r="3" ht="14.25" customHeight="1">
      <c r="B3" s="355"/>
    </row>
    <row r="4" ht="14.25" customHeight="1">
      <c r="B4" s="357" t="s">
        <v>406</v>
      </c>
    </row>
    <row r="5" ht="14.25" customHeight="1">
      <c r="B5" s="355"/>
    </row>
    <row r="6" ht="14.25" customHeight="1">
      <c r="B6" s="356" t="s">
        <v>407</v>
      </c>
    </row>
    <row r="7" ht="14.25" customHeight="1">
      <c r="B7" s="355"/>
    </row>
    <row r="8" ht="14.25" customHeight="1">
      <c r="B8" s="357" t="s">
        <v>408</v>
      </c>
    </row>
    <row r="9" ht="14.25" customHeight="1">
      <c r="B9" s="355"/>
    </row>
    <row r="10" ht="14.25" customHeight="1">
      <c r="B10" s="356" t="s">
        <v>409</v>
      </c>
    </row>
    <row r="11" ht="14.25" customHeight="1">
      <c r="B11" s="355"/>
    </row>
    <row r="12" ht="14.25" customHeight="1">
      <c r="B12" s="357" t="s">
        <v>410</v>
      </c>
    </row>
    <row r="13" ht="14.25" customHeight="1">
      <c r="B13" s="355"/>
    </row>
    <row r="14" ht="14.25" customHeight="1">
      <c r="B14" s="355" t="s">
        <v>411</v>
      </c>
    </row>
    <row r="15" ht="14.25" customHeight="1">
      <c r="B15" s="355"/>
    </row>
    <row r="16" ht="14.25" customHeight="1">
      <c r="B16" s="355" t="s">
        <v>412</v>
      </c>
    </row>
    <row r="17" ht="14.25" customHeight="1">
      <c r="B17" s="355" t="s">
        <v>413</v>
      </c>
    </row>
    <row r="18" ht="14.25" customHeight="1">
      <c r="B18" s="355"/>
    </row>
    <row r="19" ht="14.25" customHeight="1">
      <c r="B19" s="355"/>
    </row>
    <row r="20" ht="14.25" customHeight="1">
      <c r="B20" s="355"/>
    </row>
    <row r="21" ht="14.25" customHeight="1">
      <c r="B21" s="355"/>
    </row>
    <row r="22" ht="14.25" customHeight="1">
      <c r="B22" s="355"/>
    </row>
    <row r="23" ht="14.25" customHeight="1">
      <c r="B23" s="355"/>
    </row>
    <row r="24" ht="14.25" customHeight="1">
      <c r="B24" s="355"/>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