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 activeTab="3"/>
  </bookViews>
  <sheets>
    <sheet name="Pilot Planning" sheetId="1" r:id="rId1"/>
    <sheet name="2013 List" sheetId="2" r:id="rId2"/>
    <sheet name="2014 List" sheetId="3" r:id="rId3"/>
    <sheet name="Cost Summary" sheetId="4" r:id="rId4"/>
    <sheet name="Vial Prep Summary" sheetId="5" r:id="rId5"/>
  </sheets>
  <calcPr calcId="125725"/>
</workbook>
</file>

<file path=xl/calcChain.xml><?xml version="1.0" encoding="utf-8"?>
<calcChain xmlns="http://schemas.openxmlformats.org/spreadsheetml/2006/main">
  <c r="M21" i="4"/>
  <c r="L10"/>
  <c r="L11"/>
  <c r="M11" s="1"/>
  <c r="L12"/>
  <c r="M12" s="1"/>
  <c r="L13"/>
  <c r="L14"/>
  <c r="L15"/>
  <c r="M15" s="1"/>
  <c r="L2"/>
  <c r="L8"/>
  <c r="L9"/>
  <c r="G6" i="5"/>
  <c r="M10" i="4"/>
  <c r="G3" i="5"/>
  <c r="G5"/>
  <c r="G4"/>
  <c r="M14" i="4"/>
  <c r="M13"/>
  <c r="I12"/>
  <c r="I11"/>
  <c r="I10"/>
  <c r="F5" i="5"/>
  <c r="D5"/>
  <c r="F4"/>
  <c r="E4"/>
  <c r="B5"/>
  <c r="B4"/>
  <c r="B3"/>
  <c r="M6" i="4"/>
  <c r="K6"/>
  <c r="L6"/>
  <c r="I6"/>
  <c r="M8"/>
  <c r="K8"/>
  <c r="M9"/>
  <c r="K9"/>
  <c r="I9"/>
  <c r="M7"/>
  <c r="I3"/>
  <c r="I4"/>
  <c r="M4" s="1"/>
  <c r="I5"/>
  <c r="M5" s="1"/>
  <c r="I7"/>
  <c r="L7"/>
  <c r="K7"/>
  <c r="L5"/>
  <c r="K5"/>
  <c r="L4"/>
  <c r="K4"/>
  <c r="L3"/>
  <c r="M2"/>
  <c r="I2"/>
  <c r="K12" i="3"/>
  <c r="K3"/>
  <c r="K2"/>
  <c r="H3"/>
  <c r="H2"/>
  <c r="I36" i="2"/>
  <c r="I34"/>
  <c r="I30"/>
  <c r="I26"/>
  <c r="G3"/>
  <c r="G6"/>
  <c r="G5"/>
  <c r="G4"/>
  <c r="B5"/>
  <c r="B4"/>
  <c r="B3"/>
  <c r="G39" i="1"/>
  <c r="D18"/>
  <c r="D20"/>
  <c r="G43"/>
  <c r="G37"/>
  <c r="G20"/>
  <c r="E43"/>
  <c r="E37"/>
  <c r="D14"/>
  <c r="E8"/>
  <c r="E9"/>
  <c r="D9"/>
  <c r="E7"/>
  <c r="E6"/>
  <c r="E2"/>
  <c r="E4"/>
  <c r="E3"/>
  <c r="E5"/>
  <c r="M3" i="4" l="1"/>
  <c r="M23" s="1"/>
  <c r="E11" i="1"/>
  <c r="E12" s="1"/>
</calcChain>
</file>

<file path=xl/sharedStrings.xml><?xml version="1.0" encoding="utf-8"?>
<sst xmlns="http://schemas.openxmlformats.org/spreadsheetml/2006/main" count="231" uniqueCount="128">
  <si>
    <t>KH2PO4</t>
  </si>
  <si>
    <t>0.8 g/replicate</t>
  </si>
  <si>
    <t>2 g/replicate</t>
  </si>
  <si>
    <t>Reagent Grade - Granular; 500g</t>
  </si>
  <si>
    <t>Reagent Grade - Crystal; 500g</t>
  </si>
  <si>
    <t>12” per 5 replicates</t>
  </si>
  <si>
    <t>angle plastic</t>
  </si>
  <si>
    <t>#48445 - 2" x 1/4" Fibergrate Dynaform® Equal Leg Angle; Grey </t>
  </si>
  <si>
    <t xml:space="preserve">Agar </t>
  </si>
  <si>
    <t>0.6-0.9 g/replicate</t>
  </si>
  <si>
    <t>Agar Powder 100g</t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</si>
  <si>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Cl </t>
    </r>
  </si>
  <si>
    <t>Material</t>
  </si>
  <si>
    <t>Amt/replicate</t>
  </si>
  <si>
    <t>Link</t>
  </si>
  <si>
    <t xml:space="preserve">Unit Cost </t>
  </si>
  <si>
    <t>Replicate Cost</t>
  </si>
  <si>
    <t>Replicate cost</t>
  </si>
  <si>
    <t>Container</t>
  </si>
  <si>
    <t>5 replicates per treatment</t>
  </si>
  <si>
    <t>control, nitrogen, phosphorus and nitrogen + phosphorus</t>
  </si>
  <si>
    <t>20 replicates per site</t>
  </si>
  <si>
    <t>Chla</t>
  </si>
  <si>
    <t>Chem</t>
  </si>
  <si>
    <t>Bugs</t>
  </si>
  <si>
    <t>Cinder Block</t>
  </si>
  <si>
    <t>1 per 5 replicates</t>
  </si>
  <si>
    <t>Site cost</t>
  </si>
  <si>
    <t>Cable ties</t>
  </si>
  <si>
    <t>Gardner Bender
8 in. UV-Resistant Cable Ties (1,000-Pack)</t>
  </si>
  <si>
    <r>
      <t>Potassium Phosphate, Monobasic, BAKER ANALYZED* Reagent. ACS Grade, 99.0% min. (500g)</t>
    </r>
    <r>
      <rPr>
        <sz val="11"/>
        <color theme="1"/>
        <rFont val="Calibri"/>
        <family val="2"/>
        <scheme val="minor"/>
      </rPr>
      <t xml:space="preserve"> Poly Bottle </t>
    </r>
  </si>
  <si>
    <t>JT3246-1</t>
  </si>
  <si>
    <t>Ammonium Chloride, AR*. ACS Grade, 99.5% min. (by Ag titration). 500 g Mall POLYSTORMOR</t>
  </si>
  <si>
    <t>MK338412</t>
  </si>
  <si>
    <t>Agar, Powder, NF 500 g Poly Bottle</t>
  </si>
  <si>
    <t>95031-662</t>
  </si>
  <si>
    <t>Fritted Glass Disk</t>
  </si>
  <si>
    <t>1 per replicate</t>
  </si>
  <si>
    <t>Replicates</t>
  </si>
  <si>
    <t>60 replicates</t>
  </si>
  <si>
    <t>Purchased</t>
  </si>
  <si>
    <t>Ordered on a combined PO submitted by Chris (VWR acct # 80157072)(PO #8010662732 7/6/12)</t>
  </si>
  <si>
    <t>Total</t>
  </si>
  <si>
    <t xml:space="preserve">Bottles </t>
  </si>
  <si>
    <t>1000 @ $267.97</t>
  </si>
  <si>
    <t>130 @ $1.95</t>
  </si>
  <si>
    <t>ReUseIt</t>
  </si>
  <si>
    <t>FisherSci (Acct # 906341-001)</t>
  </si>
  <si>
    <t>Leco fritted glass crucible covers</t>
  </si>
  <si>
    <t>NC0279721</t>
  </si>
  <si>
    <t>360 Chla replicates</t>
  </si>
  <si>
    <t>Summer 2013?</t>
  </si>
  <si>
    <t>Becky is looking at budgeting $12K</t>
  </si>
  <si>
    <t>20 samples</t>
  </si>
  <si>
    <t>Control</t>
  </si>
  <si>
    <t>P</t>
  </si>
  <si>
    <t>N</t>
  </si>
  <si>
    <t>N+P</t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</si>
  <si>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Control treatment:  Bring 1L of water to boil in Erlenmeyer flask.  While stirring, add 20 g of agar powder.  Bring to a boil.  Allow to cool before pouring – Agar solidifies below 50°C – beware!</t>
    </r>
  </si>
  <si>
    <r>
      <t>2)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N treatment – repeat as in step 1 except add 26.7 g of NH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Cl along with agar powder.</t>
    </r>
  </si>
  <si>
    <r>
      <t>3)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 treatment – repeat as in step 1 except add 68 g of KH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PO4 along with agar powder.</t>
    </r>
  </si>
  <si>
    <r>
      <t>4)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N+P treatment – repeat as in step 1 except add 30 g of agar, 26.7 g of NH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Cl and 68 g of KH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PO4.</t>
    </r>
  </si>
  <si>
    <t>30ml=1oz</t>
  </si>
  <si>
    <t>Need to make about 12L of agar total</t>
  </si>
  <si>
    <t>Number of samples</t>
  </si>
  <si>
    <t>1.5-2 times agar for N+P</t>
  </si>
  <si>
    <t>Material Needed(g)</t>
  </si>
  <si>
    <t>Batches(L)</t>
  </si>
  <si>
    <t>Ordered on a combined PO submitted by Chris (VWR acct # 80157072)(PO #xxxxxxxxxxxxxx 7/12/13)</t>
  </si>
  <si>
    <t>QTY</t>
  </si>
  <si>
    <t>Price</t>
  </si>
  <si>
    <t>Amt/replicate(g)</t>
  </si>
  <si>
    <t>06102-30</t>
  </si>
  <si>
    <t>Item</t>
  </si>
  <si>
    <t>Qty</t>
  </si>
  <si>
    <t># per pack</t>
  </si>
  <si>
    <t>Total #</t>
  </si>
  <si>
    <t>Source</t>
  </si>
  <si>
    <t>Item Code</t>
  </si>
  <si>
    <t>Snap-Cap Sample Vials (48.1mL)</t>
  </si>
  <si>
    <t>Cost per pack</t>
  </si>
  <si>
    <t>Total Cost</t>
  </si>
  <si>
    <t>Stakes</t>
  </si>
  <si>
    <t>Home Depot</t>
  </si>
  <si>
    <t>Cole Parmer (Acct # 428-578-01)</t>
  </si>
  <si>
    <t>Phone</t>
  </si>
  <si>
    <t>Order #</t>
  </si>
  <si>
    <t>800-766-7000</t>
  </si>
  <si>
    <t>888-358-4717</t>
  </si>
  <si>
    <t>A41774797</t>
  </si>
  <si>
    <t>Tax/Shipping</t>
  </si>
  <si>
    <t>(970) 493-2626</t>
  </si>
  <si>
    <t>Macroinvertebrate Identification</t>
  </si>
  <si>
    <t>Water Chemistry Analysis</t>
  </si>
  <si>
    <t>Chlorophyll a analysis</t>
  </si>
  <si>
    <t>Aquatic Associates</t>
  </si>
  <si>
    <t>CDPHE LSD</t>
  </si>
  <si>
    <t>CU/CIRES - Center for Limnology</t>
  </si>
  <si>
    <t>303-492-5191</t>
  </si>
  <si>
    <t>(801) 584-8400</t>
  </si>
  <si>
    <t>1-800-932-5000</t>
  </si>
  <si>
    <t>McGuckins</t>
  </si>
  <si>
    <t>Hardware</t>
  </si>
  <si>
    <t>Type</t>
  </si>
  <si>
    <t>Media</t>
  </si>
  <si>
    <t>Analytics</t>
  </si>
  <si>
    <t>Cost per site</t>
  </si>
  <si>
    <t>3/4in x 18in Round Steel Stakes</t>
  </si>
  <si>
    <t>#06178</t>
  </si>
  <si>
    <t>Home Depot - Weyerhaeuser</t>
  </si>
  <si>
    <t xml:space="preserve">12in x 12in Pavers </t>
  </si>
  <si>
    <t>Zip Ties Heavy Duty Outdoor</t>
  </si>
  <si>
    <t>Sensor</t>
  </si>
  <si>
    <t>HOBO temperature logger</t>
  </si>
  <si>
    <t>VWR (Acct # 80157072)</t>
  </si>
  <si>
    <r>
      <t>Potassium Phosphate, Monobasic, BAKER ANALYZED* Reagent. ACS Grade, 99.0% min. (500g)</t>
    </r>
    <r>
      <rPr>
        <sz val="10"/>
        <color theme="1"/>
        <rFont val="Calibri"/>
        <family val="2"/>
        <scheme val="minor"/>
      </rPr>
      <t xml:space="preserve"> Poly Bottle </t>
    </r>
  </si>
  <si>
    <t>3M Marine Adhesive 5200</t>
  </si>
  <si>
    <t>#06535</t>
  </si>
  <si>
    <t>Baling Wire/16.5 Gauge Rebar Tie Wire</t>
  </si>
  <si>
    <t>#05337</t>
  </si>
  <si>
    <t>Cost per Pack</t>
  </si>
  <si>
    <t>Aluminum Angle (2"x2"x0.0625")</t>
  </si>
  <si>
    <t>Reusable</t>
  </si>
  <si>
    <t>One Time</t>
  </si>
  <si>
    <t>Cost Recurrance</t>
  </si>
  <si>
    <t>?</t>
  </si>
  <si>
    <t>NDS Material Cost Per Site</t>
  </si>
  <si>
    <t xml:space="preserve">Total Cost Per Site 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</si>
</sst>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0.0"/>
  </numFmts>
  <fonts count="2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7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1"/>
      <color rgb="FF000000"/>
      <name val="Verdana"/>
      <family val="2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30303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262626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4" fillId="0" borderId="0" xfId="1" applyFont="1" applyAlignment="1" applyProtection="1"/>
    <xf numFmtId="164" fontId="5" fillId="0" borderId="0" xfId="0" applyNumberFormat="1" applyFont="1"/>
    <xf numFmtId="0" fontId="0" fillId="0" borderId="0" xfId="0" applyFont="1" applyAlignment="1">
      <alignment horizontal="left" indent="14"/>
    </xf>
    <xf numFmtId="0" fontId="0" fillId="2" borderId="0" xfId="0" applyFill="1"/>
    <xf numFmtId="164" fontId="0" fillId="2" borderId="0" xfId="0" applyNumberFormat="1" applyFill="1"/>
    <xf numFmtId="6" fontId="0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164" fontId="6" fillId="2" borderId="0" xfId="0" applyNumberFormat="1" applyFont="1" applyFill="1"/>
    <xf numFmtId="8" fontId="8" fillId="0" borderId="0" xfId="0" applyNumberFormat="1" applyFont="1"/>
    <xf numFmtId="0" fontId="7" fillId="0" borderId="1" xfId="0" applyFont="1" applyBorder="1"/>
    <xf numFmtId="0" fontId="0" fillId="0" borderId="2" xfId="0" applyFont="1" applyBorder="1"/>
    <xf numFmtId="164" fontId="0" fillId="0" borderId="2" xfId="0" applyNumberFormat="1" applyFont="1" applyBorder="1"/>
    <xf numFmtId="0" fontId="9" fillId="0" borderId="3" xfId="0" applyFont="1" applyBorder="1"/>
    <xf numFmtId="0" fontId="0" fillId="0" borderId="0" xfId="0" applyFont="1" applyBorder="1"/>
    <xf numFmtId="164" fontId="0" fillId="0" borderId="0" xfId="0" applyNumberFormat="1" applyFont="1" applyBorder="1"/>
    <xf numFmtId="0" fontId="10" fillId="0" borderId="3" xfId="0" applyFont="1" applyBorder="1"/>
    <xf numFmtId="8" fontId="9" fillId="0" borderId="3" xfId="0" applyNumberFormat="1" applyFont="1" applyBorder="1"/>
    <xf numFmtId="2" fontId="0" fillId="0" borderId="0" xfId="0" applyNumberFormat="1" applyFont="1" applyBorder="1"/>
    <xf numFmtId="2" fontId="0" fillId="0" borderId="2" xfId="0" applyNumberFormat="1" applyFont="1" applyBorder="1"/>
    <xf numFmtId="8" fontId="9" fillId="0" borderId="0" xfId="0" applyNumberFormat="1" applyFont="1" applyBorder="1"/>
    <xf numFmtId="2" fontId="0" fillId="0" borderId="0" xfId="0" applyNumberFormat="1" applyFont="1"/>
    <xf numFmtId="164" fontId="0" fillId="0" borderId="0" xfId="0" applyNumberFormat="1"/>
    <xf numFmtId="0" fontId="2" fillId="0" borderId="0" xfId="1" applyAlignment="1" applyProtection="1"/>
    <xf numFmtId="0" fontId="0" fillId="0" borderId="4" xfId="0" applyBorder="1"/>
    <xf numFmtId="164" fontId="0" fillId="0" borderId="5" xfId="0" applyNumberFormat="1" applyFont="1" applyBorder="1"/>
    <xf numFmtId="0" fontId="0" fillId="0" borderId="5" xfId="0" applyFont="1" applyBorder="1"/>
    <xf numFmtId="0" fontId="0" fillId="0" borderId="4" xfId="0" applyFont="1" applyBorder="1"/>
    <xf numFmtId="0" fontId="0" fillId="0" borderId="6" xfId="0" applyFont="1" applyBorder="1"/>
    <xf numFmtId="0" fontId="1" fillId="0" borderId="0" xfId="0" applyFont="1" applyAlignment="1">
      <alignment horizontal="left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8" xfId="0" applyFont="1" applyBorder="1"/>
    <xf numFmtId="165" fontId="0" fillId="0" borderId="9" xfId="0" applyNumberFormat="1" applyBorder="1"/>
    <xf numFmtId="0" fontId="0" fillId="0" borderId="8" xfId="0" applyBorder="1"/>
    <xf numFmtId="0" fontId="0" fillId="0" borderId="9" xfId="0" applyBorder="1"/>
    <xf numFmtId="0" fontId="0" fillId="0" borderId="11" xfId="0" applyFont="1" applyBorder="1"/>
    <xf numFmtId="165" fontId="0" fillId="0" borderId="0" xfId="0" applyNumberFormat="1" applyFont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0" fillId="3" borderId="10" xfId="0" applyFill="1" applyBorder="1"/>
    <xf numFmtId="0" fontId="0" fillId="0" borderId="13" xfId="0" applyFill="1" applyBorder="1"/>
    <xf numFmtId="0" fontId="0" fillId="0" borderId="14" xfId="0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7" xfId="0" applyNumberFormat="1" applyBorder="1"/>
    <xf numFmtId="0" fontId="0" fillId="0" borderId="2" xfId="0" applyBorder="1"/>
    <xf numFmtId="0" fontId="0" fillId="0" borderId="18" xfId="0" applyBorder="1"/>
    <xf numFmtId="0" fontId="0" fillId="0" borderId="19" xfId="0" applyBorder="1"/>
    <xf numFmtId="0" fontId="7" fillId="0" borderId="0" xfId="0" applyFont="1" applyBorder="1"/>
    <xf numFmtId="0" fontId="7" fillId="0" borderId="19" xfId="0" applyFont="1" applyBorder="1"/>
    <xf numFmtId="0" fontId="0" fillId="0" borderId="3" xfId="0" applyFont="1" applyBorder="1"/>
    <xf numFmtId="0" fontId="0" fillId="0" borderId="20" xfId="0" applyFont="1" applyBorder="1"/>
    <xf numFmtId="0" fontId="0" fillId="0" borderId="21" xfId="0" applyFont="1" applyBorder="1"/>
    <xf numFmtId="164" fontId="0" fillId="0" borderId="21" xfId="0" applyNumberFormat="1" applyBorder="1"/>
    <xf numFmtId="0" fontId="0" fillId="0" borderId="21" xfId="0" applyBorder="1"/>
    <xf numFmtId="0" fontId="7" fillId="0" borderId="21" xfId="0" applyFont="1" applyBorder="1"/>
    <xf numFmtId="2" fontId="7" fillId="0" borderId="22" xfId="0" applyNumberFormat="1" applyFont="1" applyBorder="1"/>
    <xf numFmtId="0" fontId="0" fillId="2" borderId="1" xfId="0" applyFill="1" applyBorder="1"/>
    <xf numFmtId="0" fontId="0" fillId="2" borderId="18" xfId="0" applyFill="1" applyBorder="1"/>
    <xf numFmtId="0" fontId="0" fillId="0" borderId="19" xfId="0" applyFont="1" applyBorder="1"/>
    <xf numFmtId="0" fontId="0" fillId="0" borderId="3" xfId="0" applyBorder="1"/>
    <xf numFmtId="0" fontId="0" fillId="0" borderId="20" xfId="0" applyBorder="1"/>
    <xf numFmtId="0" fontId="0" fillId="3" borderId="22" xfId="0" applyFill="1" applyBorder="1"/>
    <xf numFmtId="0" fontId="0" fillId="3" borderId="9" xfId="0" applyFill="1" applyBorder="1"/>
    <xf numFmtId="0" fontId="7" fillId="4" borderId="0" xfId="0" applyFont="1" applyFill="1"/>
    <xf numFmtId="0" fontId="13" fillId="0" borderId="0" xfId="0" applyFont="1"/>
    <xf numFmtId="0" fontId="0" fillId="0" borderId="0" xfId="0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1" applyBorder="1" applyAlignment="1" applyProtection="1"/>
    <xf numFmtId="0" fontId="14" fillId="0" borderId="0" xfId="0" applyFont="1" applyFill="1" applyBorder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Border="1"/>
    <xf numFmtId="8" fontId="14" fillId="0" borderId="0" xfId="0" applyNumberFormat="1" applyFont="1" applyBorder="1"/>
    <xf numFmtId="0" fontId="17" fillId="4" borderId="0" xfId="0" applyFont="1" applyFill="1" applyBorder="1"/>
    <xf numFmtId="0" fontId="18" fillId="0" borderId="0" xfId="0" applyFont="1" applyBorder="1"/>
    <xf numFmtId="164" fontId="18" fillId="0" borderId="0" xfId="0" applyNumberFormat="1" applyFont="1" applyBorder="1"/>
    <xf numFmtId="0" fontId="18" fillId="0" borderId="0" xfId="0" applyFont="1" applyFill="1" applyBorder="1"/>
    <xf numFmtId="0" fontId="19" fillId="0" borderId="0" xfId="1" applyFont="1" applyBorder="1" applyAlignment="1" applyProtection="1"/>
    <xf numFmtId="0" fontId="18" fillId="0" borderId="0" xfId="0" applyFont="1" applyBorder="1" applyAlignment="1">
      <alignment wrapText="1"/>
    </xf>
    <xf numFmtId="0" fontId="20" fillId="0" borderId="0" xfId="0" applyFont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164" fontId="18" fillId="0" borderId="0" xfId="0" applyNumberFormat="1" applyFont="1" applyFill="1" applyBorder="1"/>
    <xf numFmtId="164" fontId="14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splastic.com/catalog/item.aspx?itemid=30779&amp;catid=561" TargetMode="External"/><Relationship Id="rId2" Type="http://schemas.openxmlformats.org/officeDocument/2006/relationships/hyperlink" Target="javascript:GoToItemDisplay('3500897','0')" TargetMode="External"/><Relationship Id="rId1" Type="http://schemas.openxmlformats.org/officeDocument/2006/relationships/hyperlink" Target="javascript:GoToItemDisplay('2301669','0')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reuseit.com/store/nalgene-food-jars-p-1567.html?slave_id=2038" TargetMode="External"/><Relationship Id="rId4" Type="http://schemas.openxmlformats.org/officeDocument/2006/relationships/hyperlink" Target="javascript:GoToItemDisplay('3104996','0'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omedepot.com/p/Weyerhaeuser-3-4-in-x-18-in-Round-Steel-Stake-06178/202094305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http://www.homedepot.com/p/Everbilt-2-in-x-96-in-Aluminum-Angle-with-1-16-in-Thick-802607/204273998" TargetMode="External"/><Relationship Id="rId5" Type="http://schemas.openxmlformats.org/officeDocument/2006/relationships/hyperlink" Target="http://www.homedepot.com/p/Weyerhaeuser-400-ft-16-5-Gauge-Rebar-Tie-Wire-05337/202094311?keyword=rebar+wire" TargetMode="External"/><Relationship Id="rId4" Type="http://schemas.openxmlformats.org/officeDocument/2006/relationships/hyperlink" Target="http://www.homedepot.com/p/StoneBilt-Concepts-12-in-x-12-in-Concrete-San-Juan-Blend-Heritage-Paver-ps-hs-12-12-031/2047179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3"/>
  <sheetViews>
    <sheetView topLeftCell="A13" workbookViewId="0">
      <selection activeCell="A24" sqref="A24"/>
    </sheetView>
  </sheetViews>
  <sheetFormatPr defaultRowHeight="15"/>
  <cols>
    <col min="1" max="1" width="12" style="2" bestFit="1" customWidth="1"/>
    <col min="2" max="2" width="18.140625" style="2" bestFit="1" customWidth="1"/>
    <col min="3" max="3" width="57.28515625" style="2" bestFit="1" customWidth="1"/>
    <col min="4" max="4" width="13.42578125" style="3" bestFit="1" customWidth="1"/>
    <col min="5" max="5" width="12.85546875" style="2" bestFit="1" customWidth="1"/>
    <col min="6" max="6" width="13.7109375" style="2" bestFit="1" customWidth="1"/>
    <col min="7" max="16384" width="9.140625" style="2"/>
  </cols>
  <sheetData>
    <row r="1" spans="1:7">
      <c r="A1" s="7" t="s">
        <v>12</v>
      </c>
      <c r="B1" s="7" t="s">
        <v>13</v>
      </c>
      <c r="C1" s="7" t="s">
        <v>14</v>
      </c>
      <c r="D1" s="8" t="s">
        <v>15</v>
      </c>
      <c r="E1" s="7" t="s">
        <v>16</v>
      </c>
      <c r="F1" s="7" t="s">
        <v>38</v>
      </c>
      <c r="G1"/>
    </row>
    <row r="2" spans="1:7">
      <c r="A2" s="2" t="s">
        <v>8</v>
      </c>
      <c r="B2" s="2" t="s">
        <v>9</v>
      </c>
      <c r="C2" s="4" t="s">
        <v>10</v>
      </c>
      <c r="D2" s="13">
        <v>167.44</v>
      </c>
      <c r="E2" s="3">
        <f>(0.9/100)*D2</f>
        <v>1.5069600000000001</v>
      </c>
      <c r="F2" s="2">
        <v>100</v>
      </c>
    </row>
    <row r="3" spans="1:7" ht="18">
      <c r="A3" s="2" t="s">
        <v>11</v>
      </c>
      <c r="B3" s="2" t="s">
        <v>1</v>
      </c>
      <c r="C3" s="4" t="s">
        <v>3</v>
      </c>
      <c r="D3" s="5">
        <v>316.39999999999998</v>
      </c>
      <c r="E3" s="3">
        <f>(0.8/500)*D3</f>
        <v>0.50624000000000002</v>
      </c>
      <c r="F3" s="2">
        <v>600</v>
      </c>
    </row>
    <row r="4" spans="1:7">
      <c r="A4" s="2" t="s">
        <v>0</v>
      </c>
      <c r="B4" s="2" t="s">
        <v>2</v>
      </c>
      <c r="C4" s="4" t="s">
        <v>4</v>
      </c>
      <c r="D4" s="5">
        <v>108</v>
      </c>
      <c r="E4" s="3">
        <f>(2/500)*D4</f>
        <v>0.432</v>
      </c>
      <c r="F4" s="2">
        <v>200</v>
      </c>
    </row>
    <row r="5" spans="1:7">
      <c r="A5" s="2" t="s">
        <v>6</v>
      </c>
      <c r="B5" s="2" t="s">
        <v>5</v>
      </c>
      <c r="C5" s="4" t="s">
        <v>7</v>
      </c>
      <c r="D5" s="5">
        <v>5.27</v>
      </c>
      <c r="E5" s="3">
        <f>D5/5</f>
        <v>1.0539999999999998</v>
      </c>
    </row>
    <row r="6" spans="1:7">
      <c r="A6" s="2" t="s">
        <v>18</v>
      </c>
      <c r="B6" s="2">
        <v>1</v>
      </c>
      <c r="D6" s="3">
        <v>60</v>
      </c>
      <c r="E6" s="3">
        <f>D6</f>
        <v>60</v>
      </c>
    </row>
    <row r="7" spans="1:7">
      <c r="A7" s="2" t="s">
        <v>25</v>
      </c>
      <c r="B7" t="s">
        <v>26</v>
      </c>
      <c r="D7" s="3">
        <v>10</v>
      </c>
      <c r="E7" s="3">
        <f>D7/5</f>
        <v>2</v>
      </c>
    </row>
    <row r="8" spans="1:7">
      <c r="A8" s="2" t="s">
        <v>36</v>
      </c>
      <c r="B8" t="s">
        <v>37</v>
      </c>
      <c r="D8" s="3">
        <v>268</v>
      </c>
      <c r="E8" s="3">
        <f>D8/1000</f>
        <v>0.26800000000000002</v>
      </c>
      <c r="F8" s="2">
        <v>1000</v>
      </c>
    </row>
    <row r="9" spans="1:7" ht="30">
      <c r="A9" s="10" t="s">
        <v>28</v>
      </c>
      <c r="B9" s="2">
        <v>2</v>
      </c>
      <c r="C9" s="11" t="s">
        <v>29</v>
      </c>
      <c r="D9" s="3">
        <f>19.5</f>
        <v>19.5</v>
      </c>
      <c r="E9" s="3">
        <f>D9/500</f>
        <v>3.9E-2</v>
      </c>
    </row>
    <row r="11" spans="1:7">
      <c r="D11" s="12" t="s">
        <v>17</v>
      </c>
      <c r="E11" s="12">
        <f>SUM(E2:E10)</f>
        <v>65.806200000000004</v>
      </c>
    </row>
    <row r="12" spans="1:7">
      <c r="D12" s="12" t="s">
        <v>27</v>
      </c>
      <c r="E12" s="12">
        <f>E11*20</f>
        <v>1316.124</v>
      </c>
    </row>
    <row r="14" spans="1:7" ht="15.75">
      <c r="A14" s="1" t="s">
        <v>20</v>
      </c>
      <c r="D14" s="3">
        <f>SUM(D2:D9)</f>
        <v>954.6099999999999</v>
      </c>
    </row>
    <row r="15" spans="1:7">
      <c r="A15" t="s">
        <v>19</v>
      </c>
      <c r="B15" s="6"/>
    </row>
    <row r="16" spans="1:7">
      <c r="A16" t="s">
        <v>21</v>
      </c>
      <c r="B16" s="6"/>
    </row>
    <row r="18" spans="1:8" ht="15.75" thickBot="1">
      <c r="A18" t="s">
        <v>22</v>
      </c>
      <c r="B18" s="9">
        <v>25</v>
      </c>
      <c r="D18" s="3">
        <f>25*60</f>
        <v>1500</v>
      </c>
      <c r="E18" t="s">
        <v>39</v>
      </c>
      <c r="G18" t="s">
        <v>52</v>
      </c>
    </row>
    <row r="19" spans="1:8">
      <c r="A19" t="s">
        <v>23</v>
      </c>
      <c r="B19" s="9">
        <v>300</v>
      </c>
      <c r="G19" s="28" t="s">
        <v>51</v>
      </c>
    </row>
    <row r="20" spans="1:8">
      <c r="A20" t="s">
        <v>24</v>
      </c>
      <c r="B20" s="9">
        <v>160</v>
      </c>
      <c r="D20" s="3">
        <f>B20*20</f>
        <v>3200</v>
      </c>
      <c r="E20" t="s">
        <v>53</v>
      </c>
      <c r="G20" s="29">
        <f>25*360</f>
        <v>9000</v>
      </c>
      <c r="H20" t="s">
        <v>50</v>
      </c>
    </row>
    <row r="21" spans="1:8">
      <c r="G21" s="30"/>
    </row>
    <row r="22" spans="1:8">
      <c r="G22" s="30"/>
    </row>
    <row r="23" spans="1:8" ht="15.75" thickBot="1">
      <c r="A23" s="2" t="s">
        <v>40</v>
      </c>
      <c r="G23" s="30"/>
    </row>
    <row r="24" spans="1:8" s="15" customFormat="1">
      <c r="A24" s="14" t="s">
        <v>41</v>
      </c>
      <c r="D24" s="16"/>
      <c r="E24" s="23"/>
      <c r="G24" s="31"/>
    </row>
    <row r="25" spans="1:8" s="18" customFormat="1">
      <c r="A25" s="17" t="s">
        <v>30</v>
      </c>
      <c r="D25" s="19"/>
      <c r="E25" s="22">
        <v>66.680000000000007</v>
      </c>
      <c r="G25" s="30"/>
    </row>
    <row r="26" spans="1:8" s="18" customFormat="1">
      <c r="A26" s="20" t="s">
        <v>31</v>
      </c>
      <c r="D26" s="19"/>
      <c r="E26" s="22"/>
      <c r="G26" s="30"/>
    </row>
    <row r="27" spans="1:8" s="18" customFormat="1">
      <c r="A27" s="21">
        <v>108.3</v>
      </c>
      <c r="D27" s="19"/>
      <c r="E27" s="22"/>
      <c r="G27" s="30"/>
    </row>
    <row r="28" spans="1:8" s="18" customFormat="1">
      <c r="A28" s="17"/>
      <c r="D28" s="19"/>
      <c r="E28" s="22"/>
      <c r="G28" s="30"/>
    </row>
    <row r="29" spans="1:8" s="18" customFormat="1">
      <c r="A29" s="17" t="s">
        <v>32</v>
      </c>
      <c r="D29" s="19"/>
      <c r="E29" s="22">
        <v>54.3</v>
      </c>
      <c r="G29" s="30"/>
    </row>
    <row r="30" spans="1:8" s="18" customFormat="1">
      <c r="A30" s="20" t="s">
        <v>33</v>
      </c>
      <c r="D30" s="19"/>
      <c r="E30" s="22"/>
      <c r="G30" s="30"/>
    </row>
    <row r="31" spans="1:8" s="18" customFormat="1">
      <c r="A31" s="21">
        <v>57.3</v>
      </c>
      <c r="D31" s="19"/>
      <c r="E31" s="22"/>
      <c r="G31" s="30"/>
    </row>
    <row r="32" spans="1:8" s="18" customFormat="1">
      <c r="A32" s="17"/>
      <c r="D32" s="19"/>
      <c r="E32" s="22"/>
      <c r="G32" s="30"/>
    </row>
    <row r="33" spans="1:7" s="18" customFormat="1">
      <c r="A33" s="17" t="s">
        <v>34</v>
      </c>
      <c r="D33" s="19"/>
      <c r="E33" s="22">
        <v>96.4</v>
      </c>
      <c r="G33" s="30"/>
    </row>
    <row r="34" spans="1:7" s="18" customFormat="1">
      <c r="A34" s="20" t="s">
        <v>35</v>
      </c>
      <c r="D34" s="19"/>
      <c r="E34" s="22"/>
      <c r="G34" s="30"/>
    </row>
    <row r="35" spans="1:7" s="18" customFormat="1">
      <c r="A35" s="24">
        <v>167.44</v>
      </c>
      <c r="D35" s="19"/>
      <c r="E35" s="22"/>
      <c r="G35" s="30"/>
    </row>
    <row r="36" spans="1:7">
      <c r="G36" s="30"/>
    </row>
    <row r="37" spans="1:7">
      <c r="D37" s="26" t="s">
        <v>42</v>
      </c>
      <c r="E37" s="25">
        <f>SUM(E24:E36)</f>
        <v>217.38</v>
      </c>
      <c r="G37" s="30">
        <f>E37*3</f>
        <v>652.14</v>
      </c>
    </row>
    <row r="38" spans="1:7">
      <c r="G38" s="30"/>
    </row>
    <row r="39" spans="1:7">
      <c r="A39" t="s">
        <v>43</v>
      </c>
      <c r="B39" t="s">
        <v>45</v>
      </c>
      <c r="C39" s="27" t="s">
        <v>46</v>
      </c>
      <c r="E39">
        <v>258.45</v>
      </c>
      <c r="G39" s="30">
        <f>E39*6</f>
        <v>1550.6999999999998</v>
      </c>
    </row>
    <row r="40" spans="1:7">
      <c r="G40" s="30"/>
    </row>
    <row r="41" spans="1:7">
      <c r="A41" t="s">
        <v>48</v>
      </c>
      <c r="B41" t="s">
        <v>44</v>
      </c>
      <c r="C41" t="s">
        <v>47</v>
      </c>
      <c r="D41" s="26" t="s">
        <v>49</v>
      </c>
      <c r="E41" s="2">
        <v>267.97000000000003</v>
      </c>
      <c r="G41" s="30">
        <v>0</v>
      </c>
    </row>
    <row r="42" spans="1:7">
      <c r="A42"/>
      <c r="C42"/>
      <c r="G42" s="30"/>
    </row>
    <row r="43" spans="1:7" ht="15.75" thickBot="1">
      <c r="E43" s="25">
        <f>SUM(E37:E41)</f>
        <v>743.8</v>
      </c>
      <c r="G43" s="32">
        <f>SUM(G37:G41)</f>
        <v>2202.8399999999997</v>
      </c>
    </row>
  </sheetData>
  <hyperlinks>
    <hyperlink ref="C3" r:id="rId1" display="javascript:GoToItemDisplay('2301669','0')"/>
    <hyperlink ref="C4" r:id="rId2" display="javascript:GoToItemDisplay('3500897','0')"/>
    <hyperlink ref="C5" r:id="rId3"/>
    <hyperlink ref="C2" r:id="rId4" display="javascript:GoToItemDisplay('3104996','0')"/>
    <hyperlink ref="C39" r:id="rId5"/>
  </hyperlinks>
  <pageMargins left="0.7" right="0.7" top="0.75" bottom="0.75" header="0.3" footer="0.3"/>
  <pageSetup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6"/>
  <sheetViews>
    <sheetView workbookViewId="0">
      <selection sqref="A1:G20"/>
    </sheetView>
  </sheetViews>
  <sheetFormatPr defaultRowHeight="15"/>
  <cols>
    <col min="1" max="1" width="12.42578125" customWidth="1"/>
    <col min="2" max="2" width="22.28515625" bestFit="1" customWidth="1"/>
    <col min="3" max="3" width="10.7109375" bestFit="1" customWidth="1"/>
    <col min="7" max="7" width="18.7109375" bestFit="1" customWidth="1"/>
  </cols>
  <sheetData>
    <row r="1" spans="1:7">
      <c r="A1" s="39"/>
      <c r="B1" s="40"/>
      <c r="C1" s="77" t="s">
        <v>64</v>
      </c>
      <c r="D1" s="78"/>
      <c r="E1" s="78"/>
      <c r="F1" s="79"/>
      <c r="G1" s="50" t="s">
        <v>66</v>
      </c>
    </row>
    <row r="2" spans="1:7">
      <c r="A2" s="43" t="s">
        <v>12</v>
      </c>
      <c r="B2" s="44" t="s">
        <v>71</v>
      </c>
      <c r="C2" s="43" t="s">
        <v>54</v>
      </c>
      <c r="D2" s="44" t="s">
        <v>55</v>
      </c>
      <c r="E2" s="44" t="s">
        <v>56</v>
      </c>
      <c r="F2" s="45" t="s">
        <v>57</v>
      </c>
      <c r="G2" s="51"/>
    </row>
    <row r="3" spans="1:7">
      <c r="A3" s="37" t="s">
        <v>8</v>
      </c>
      <c r="B3" s="38">
        <f>20/30</f>
        <v>0.66666666666666663</v>
      </c>
      <c r="C3" s="39">
        <v>90</v>
      </c>
      <c r="D3" s="73">
        <v>90</v>
      </c>
      <c r="E3" s="73">
        <v>90</v>
      </c>
      <c r="F3" s="46">
        <v>90</v>
      </c>
      <c r="G3" s="52">
        <f>(C3*B3)+((D3+B3)*1.5)+((E3*B3)*1.5)+((F3*B3)*2)</f>
        <v>406</v>
      </c>
    </row>
    <row r="4" spans="1:7" ht="18">
      <c r="A4" s="41" t="s">
        <v>11</v>
      </c>
      <c r="B4" s="42">
        <f>26.7/30</f>
        <v>0.89</v>
      </c>
      <c r="C4" s="34">
        <v>0</v>
      </c>
      <c r="D4" s="35">
        <v>0</v>
      </c>
      <c r="E4" s="35">
        <v>90</v>
      </c>
      <c r="F4" s="36">
        <v>90</v>
      </c>
      <c r="G4" s="52">
        <f>(E4*B4)+(F4*B4)</f>
        <v>160.19999999999999</v>
      </c>
    </row>
    <row r="5" spans="1:7">
      <c r="A5" s="41" t="s">
        <v>0</v>
      </c>
      <c r="B5" s="42">
        <f>68/30</f>
        <v>2.2666666666666666</v>
      </c>
      <c r="C5" s="34">
        <v>0</v>
      </c>
      <c r="D5" s="35">
        <v>90</v>
      </c>
      <c r="E5" s="35">
        <v>0</v>
      </c>
      <c r="F5" s="36">
        <v>90</v>
      </c>
      <c r="G5" s="53">
        <f>(D5*B5)+(F5*B5)</f>
        <v>408</v>
      </c>
    </row>
    <row r="6" spans="1:7">
      <c r="A6" s="47" t="s">
        <v>67</v>
      </c>
      <c r="B6" s="48"/>
      <c r="C6" s="47">
        <v>3</v>
      </c>
      <c r="D6" s="49">
        <v>3</v>
      </c>
      <c r="E6" s="49">
        <v>3</v>
      </c>
      <c r="F6" s="49">
        <v>3</v>
      </c>
      <c r="G6" s="54">
        <f>SUM(C6:F6)</f>
        <v>12</v>
      </c>
    </row>
    <row r="7" spans="1:7">
      <c r="A7" t="s">
        <v>63</v>
      </c>
    </row>
    <row r="9" spans="1:7">
      <c r="A9" t="s">
        <v>62</v>
      </c>
    </row>
    <row r="10" spans="1:7" ht="15.75">
      <c r="A10" s="33" t="s">
        <v>58</v>
      </c>
    </row>
    <row r="11" spans="1:7" ht="18.75">
      <c r="A11" s="33" t="s">
        <v>59</v>
      </c>
    </row>
    <row r="12" spans="1:7" ht="18.75">
      <c r="A12" s="33" t="s">
        <v>60</v>
      </c>
    </row>
    <row r="13" spans="1:7" ht="18.75">
      <c r="A13" s="33" t="s">
        <v>61</v>
      </c>
    </row>
    <row r="14" spans="1:7" ht="15.75" thickBot="1"/>
    <row r="15" spans="1:7">
      <c r="A15" s="67" t="s">
        <v>12</v>
      </c>
      <c r="B15" s="68" t="s">
        <v>13</v>
      </c>
    </row>
    <row r="16" spans="1:7">
      <c r="A16" s="60" t="s">
        <v>8</v>
      </c>
      <c r="B16" s="69" t="s">
        <v>9</v>
      </c>
    </row>
    <row r="17" spans="1:9" ht="18">
      <c r="A17" s="60" t="s">
        <v>11</v>
      </c>
      <c r="B17" s="69" t="s">
        <v>1</v>
      </c>
    </row>
    <row r="18" spans="1:9">
      <c r="A18" s="60" t="s">
        <v>0</v>
      </c>
      <c r="B18" s="69" t="s">
        <v>2</v>
      </c>
    </row>
    <row r="19" spans="1:9">
      <c r="A19" s="70"/>
      <c r="B19" s="57"/>
    </row>
    <row r="20" spans="1:9" ht="15.75" thickBot="1">
      <c r="A20" s="71"/>
      <c r="B20" s="72" t="s">
        <v>65</v>
      </c>
    </row>
    <row r="22" spans="1:9" ht="15.75" thickBot="1"/>
    <row r="23" spans="1:9">
      <c r="A23" s="14" t="s">
        <v>68</v>
      </c>
      <c r="B23" s="15"/>
      <c r="C23" s="15"/>
      <c r="D23" s="16"/>
      <c r="E23" s="23"/>
      <c r="F23" s="55"/>
      <c r="G23" s="55"/>
      <c r="H23" s="55" t="s">
        <v>69</v>
      </c>
      <c r="I23" s="56" t="s">
        <v>70</v>
      </c>
    </row>
    <row r="24" spans="1:9">
      <c r="A24" s="17" t="s">
        <v>30</v>
      </c>
      <c r="B24" s="18"/>
      <c r="C24" s="18"/>
      <c r="D24" s="19"/>
      <c r="E24" s="35"/>
      <c r="F24" s="35"/>
      <c r="G24" s="35"/>
      <c r="H24" s="35"/>
      <c r="I24" s="57"/>
    </row>
    <row r="25" spans="1:9">
      <c r="A25" s="20" t="s">
        <v>31</v>
      </c>
      <c r="B25" s="18"/>
      <c r="C25" s="18"/>
      <c r="D25" s="19"/>
      <c r="E25" s="22"/>
      <c r="F25" s="35"/>
      <c r="G25" s="35"/>
      <c r="H25" s="35"/>
      <c r="I25" s="57"/>
    </row>
    <row r="26" spans="1:9">
      <c r="A26" s="21">
        <v>108.3</v>
      </c>
      <c r="B26" s="18"/>
      <c r="C26" s="18"/>
      <c r="D26" s="19"/>
      <c r="E26" s="22">
        <v>66.680000000000007</v>
      </c>
      <c r="F26" s="35"/>
      <c r="G26" s="35"/>
      <c r="H26" s="58">
        <v>2</v>
      </c>
      <c r="I26" s="59">
        <f>E26*H26</f>
        <v>133.36000000000001</v>
      </c>
    </row>
    <row r="27" spans="1:9">
      <c r="A27" s="17"/>
      <c r="B27" s="18"/>
      <c r="C27" s="18"/>
      <c r="D27" s="19"/>
      <c r="E27" s="22"/>
      <c r="F27" s="35"/>
      <c r="G27" s="35"/>
      <c r="H27" s="58"/>
      <c r="I27" s="59"/>
    </row>
    <row r="28" spans="1:9">
      <c r="A28" s="17" t="s">
        <v>32</v>
      </c>
      <c r="B28" s="18"/>
      <c r="C28" s="18"/>
      <c r="D28" s="19"/>
      <c r="E28" s="35"/>
      <c r="F28" s="35"/>
      <c r="G28" s="35"/>
      <c r="H28" s="58"/>
      <c r="I28" s="59"/>
    </row>
    <row r="29" spans="1:9">
      <c r="A29" s="20" t="s">
        <v>33</v>
      </c>
      <c r="B29" s="18"/>
      <c r="C29" s="18"/>
      <c r="D29" s="19"/>
      <c r="E29" s="22"/>
      <c r="F29" s="35"/>
      <c r="G29" s="35"/>
      <c r="H29" s="58"/>
      <c r="I29" s="59"/>
    </row>
    <row r="30" spans="1:9">
      <c r="A30" s="21">
        <v>57.3</v>
      </c>
      <c r="B30" s="18"/>
      <c r="C30" s="18"/>
      <c r="D30" s="19"/>
      <c r="E30" s="22">
        <v>54.3</v>
      </c>
      <c r="F30" s="35"/>
      <c r="G30" s="35"/>
      <c r="H30" s="58">
        <v>1</v>
      </c>
      <c r="I30" s="59">
        <f>E30*H30</f>
        <v>54.3</v>
      </c>
    </row>
    <row r="31" spans="1:9">
      <c r="A31" s="17"/>
      <c r="B31" s="18"/>
      <c r="C31" s="18"/>
      <c r="D31" s="19"/>
      <c r="E31" s="22"/>
      <c r="F31" s="35"/>
      <c r="G31" s="35"/>
      <c r="H31" s="58"/>
      <c r="I31" s="59"/>
    </row>
    <row r="32" spans="1:9">
      <c r="A32" s="17" t="s">
        <v>34</v>
      </c>
      <c r="B32" s="18"/>
      <c r="C32" s="18"/>
      <c r="D32" s="19"/>
      <c r="E32" s="35"/>
      <c r="F32" s="35"/>
      <c r="G32" s="35"/>
      <c r="H32" s="58"/>
      <c r="I32" s="59"/>
    </row>
    <row r="33" spans="1:9">
      <c r="A33" s="20" t="s">
        <v>35</v>
      </c>
      <c r="B33" s="18"/>
      <c r="C33" s="18"/>
      <c r="D33" s="19"/>
      <c r="E33" s="22"/>
      <c r="F33" s="35"/>
      <c r="G33" s="35"/>
      <c r="H33" s="58"/>
      <c r="I33" s="59"/>
    </row>
    <row r="34" spans="1:9">
      <c r="A34" s="21">
        <v>167.44</v>
      </c>
      <c r="B34" s="18"/>
      <c r="C34" s="18"/>
      <c r="D34" s="19"/>
      <c r="E34" s="22">
        <v>96.4</v>
      </c>
      <c r="F34" s="35"/>
      <c r="G34" s="35"/>
      <c r="H34" s="58">
        <v>2</v>
      </c>
      <c r="I34" s="59">
        <f>E34*H34</f>
        <v>192.8</v>
      </c>
    </row>
    <row r="35" spans="1:9">
      <c r="A35" s="60"/>
      <c r="B35" s="18"/>
      <c r="C35" s="18"/>
      <c r="D35" s="19"/>
      <c r="E35" s="18"/>
      <c r="F35" s="35"/>
      <c r="G35" s="35"/>
      <c r="H35" s="58"/>
      <c r="I35" s="59"/>
    </row>
    <row r="36" spans="1:9" ht="15.75" thickBot="1">
      <c r="A36" s="61"/>
      <c r="B36" s="62"/>
      <c r="C36" s="62"/>
      <c r="D36" s="63" t="s">
        <v>42</v>
      </c>
      <c r="E36" s="64"/>
      <c r="F36" s="64"/>
      <c r="G36" s="64"/>
      <c r="H36" s="65"/>
      <c r="I36" s="66">
        <f>SUM(I24:I35)</f>
        <v>380.46000000000004</v>
      </c>
    </row>
  </sheetData>
  <mergeCells count="1">
    <mergeCell ref="C1:F1"/>
  </mergeCells>
  <pageMargins left="0.7" right="0.7" top="0.75" bottom="0.7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sqref="A1:XFD4"/>
    </sheetView>
  </sheetViews>
  <sheetFormatPr defaultColWidth="55.140625" defaultRowHeight="15"/>
  <cols>
    <col min="1" max="1" width="30.140625" bestFit="1" customWidth="1"/>
    <col min="2" max="2" width="10.5703125" bestFit="1" customWidth="1"/>
    <col min="3" max="3" width="29.28515625" bestFit="1" customWidth="1"/>
    <col min="4" max="4" width="12.42578125" bestFit="1" customWidth="1"/>
    <col min="5" max="5" width="13.5703125" customWidth="1"/>
    <col min="6" max="6" width="4.140625" bestFit="1" customWidth="1"/>
    <col min="7" max="7" width="9.85546875" bestFit="1" customWidth="1"/>
    <col min="8" max="8" width="6.85546875" bestFit="1" customWidth="1"/>
    <col min="9" max="9" width="12.7109375" bestFit="1" customWidth="1"/>
    <col min="10" max="10" width="12.7109375" customWidth="1"/>
    <col min="11" max="11" width="9.7109375" bestFit="1" customWidth="1"/>
  </cols>
  <sheetData>
    <row r="1" spans="1:11">
      <c r="A1" s="74" t="s">
        <v>73</v>
      </c>
      <c r="B1" s="74" t="s">
        <v>78</v>
      </c>
      <c r="C1" s="74" t="s">
        <v>77</v>
      </c>
      <c r="D1" s="74" t="s">
        <v>85</v>
      </c>
      <c r="E1" s="74" t="s">
        <v>86</v>
      </c>
      <c r="F1" s="74" t="s">
        <v>74</v>
      </c>
      <c r="G1" s="74" t="s">
        <v>75</v>
      </c>
      <c r="H1" s="74" t="s">
        <v>76</v>
      </c>
      <c r="I1" s="74" t="s">
        <v>80</v>
      </c>
      <c r="J1" s="74" t="s">
        <v>90</v>
      </c>
      <c r="K1" s="74" t="s">
        <v>81</v>
      </c>
    </row>
    <row r="2" spans="1:11">
      <c r="A2" t="s">
        <v>48</v>
      </c>
      <c r="B2" s="26" t="s">
        <v>49</v>
      </c>
      <c r="C2" t="s">
        <v>47</v>
      </c>
      <c r="D2" t="s">
        <v>87</v>
      </c>
      <c r="E2" s="76" t="s">
        <v>89</v>
      </c>
      <c r="F2">
        <v>1</v>
      </c>
      <c r="G2">
        <v>1000</v>
      </c>
      <c r="H2">
        <f>G2*F2</f>
        <v>1000</v>
      </c>
      <c r="I2" s="3">
        <v>270.04000000000002</v>
      </c>
      <c r="J2" s="3">
        <v>0</v>
      </c>
      <c r="K2" s="26">
        <f>I2*F2</f>
        <v>270.04000000000002</v>
      </c>
    </row>
    <row r="3" spans="1:11">
      <c r="A3" t="s">
        <v>79</v>
      </c>
      <c r="B3" t="s">
        <v>72</v>
      </c>
      <c r="C3" t="s">
        <v>84</v>
      </c>
      <c r="D3" t="s">
        <v>88</v>
      </c>
      <c r="E3">
        <v>7316609</v>
      </c>
      <c r="F3">
        <v>3</v>
      </c>
      <c r="G3">
        <v>144</v>
      </c>
      <c r="H3">
        <f>G3*F3</f>
        <v>432</v>
      </c>
      <c r="I3" s="26">
        <v>82</v>
      </c>
      <c r="J3" s="26">
        <v>33.79</v>
      </c>
      <c r="K3" s="26">
        <f>I3*F3</f>
        <v>246</v>
      </c>
    </row>
    <row r="4" spans="1:11">
      <c r="A4" t="s">
        <v>82</v>
      </c>
      <c r="C4" t="s">
        <v>83</v>
      </c>
    </row>
    <row r="10" spans="1:11">
      <c r="D10" s="26"/>
    </row>
    <row r="12" spans="1:11">
      <c r="K12" s="26">
        <f>SUM(K2:K11)</f>
        <v>516.04</v>
      </c>
    </row>
    <row r="15" spans="1:11">
      <c r="I15" s="75"/>
      <c r="J15" s="7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4"/>
  <sheetViews>
    <sheetView tabSelected="1" workbookViewId="0">
      <selection activeCell="M22" sqref="M22"/>
    </sheetView>
  </sheetViews>
  <sheetFormatPr defaultColWidth="41" defaultRowHeight="12.75"/>
  <cols>
    <col min="1" max="1" width="10.5703125" style="87" customWidth="1"/>
    <col min="2" max="2" width="30.140625" style="87" bestFit="1" customWidth="1"/>
    <col min="3" max="3" width="10.5703125" style="87" bestFit="1" customWidth="1"/>
    <col min="4" max="4" width="17" style="87" customWidth="1"/>
    <col min="5" max="6" width="9.28515625" style="87" customWidth="1"/>
    <col min="7" max="7" width="4.140625" style="87" bestFit="1" customWidth="1"/>
    <col min="8" max="8" width="9.85546875" style="87" bestFit="1" customWidth="1"/>
    <col min="9" max="9" width="6.85546875" style="87" bestFit="1" customWidth="1"/>
    <col min="10" max="10" width="12.7109375" style="87" bestFit="1" customWidth="1"/>
    <col min="11" max="11" width="12.5703125" style="87" bestFit="1" customWidth="1"/>
    <col min="12" max="12" width="12.85546875" style="87" customWidth="1"/>
    <col min="13" max="13" width="12.7109375" style="87" customWidth="1"/>
    <col min="14" max="16384" width="41" style="87"/>
  </cols>
  <sheetData>
    <row r="1" spans="1:13">
      <c r="A1" s="86" t="s">
        <v>103</v>
      </c>
      <c r="B1" s="86" t="s">
        <v>73</v>
      </c>
      <c r="C1" s="86" t="s">
        <v>78</v>
      </c>
      <c r="D1" s="86" t="s">
        <v>77</v>
      </c>
      <c r="E1" s="86" t="s">
        <v>85</v>
      </c>
      <c r="F1" s="86" t="s">
        <v>124</v>
      </c>
      <c r="G1" s="86" t="s">
        <v>74</v>
      </c>
      <c r="H1" s="86" t="s">
        <v>75</v>
      </c>
      <c r="I1" s="86" t="s">
        <v>76</v>
      </c>
      <c r="J1" s="86" t="s">
        <v>120</v>
      </c>
      <c r="K1" s="86" t="s">
        <v>90</v>
      </c>
      <c r="L1" s="86" t="s">
        <v>81</v>
      </c>
      <c r="M1" s="86" t="s">
        <v>106</v>
      </c>
    </row>
    <row r="2" spans="1:13">
      <c r="A2" s="87" t="s">
        <v>102</v>
      </c>
      <c r="B2" s="87" t="s">
        <v>48</v>
      </c>
      <c r="C2" s="88" t="s">
        <v>49</v>
      </c>
      <c r="D2" s="87" t="s">
        <v>47</v>
      </c>
      <c r="E2" s="87" t="s">
        <v>87</v>
      </c>
      <c r="F2" s="87" t="s">
        <v>123</v>
      </c>
      <c r="G2" s="87">
        <v>1</v>
      </c>
      <c r="H2" s="87">
        <v>1000</v>
      </c>
      <c r="I2" s="87">
        <f>H2*G2</f>
        <v>1000</v>
      </c>
      <c r="J2" s="88">
        <v>270.04000000000002</v>
      </c>
      <c r="K2" s="88">
        <v>0</v>
      </c>
      <c r="L2" s="88">
        <f>(J2*G2)+K2</f>
        <v>270.04000000000002</v>
      </c>
      <c r="M2" s="88">
        <f>(L2/I2)*20</f>
        <v>5.4008000000000003</v>
      </c>
    </row>
    <row r="3" spans="1:13">
      <c r="A3" s="87" t="s">
        <v>102</v>
      </c>
      <c r="B3" s="87" t="s">
        <v>79</v>
      </c>
      <c r="C3" s="87" t="s">
        <v>72</v>
      </c>
      <c r="D3" s="87" t="s">
        <v>84</v>
      </c>
      <c r="E3" s="87" t="s">
        <v>88</v>
      </c>
      <c r="F3" s="87" t="s">
        <v>123</v>
      </c>
      <c r="G3" s="87">
        <v>1</v>
      </c>
      <c r="H3" s="87">
        <v>144</v>
      </c>
      <c r="I3" s="87">
        <f t="shared" ref="I3:I6" si="0">H3*G3</f>
        <v>144</v>
      </c>
      <c r="J3" s="88">
        <v>82</v>
      </c>
      <c r="K3" s="88">
        <v>33.79</v>
      </c>
      <c r="L3" s="88">
        <f>(J3*G3)+K3</f>
        <v>115.78999999999999</v>
      </c>
      <c r="M3" s="88">
        <f>(L3/I3)*20</f>
        <v>16.081944444444442</v>
      </c>
    </row>
    <row r="4" spans="1:13">
      <c r="A4" s="89" t="s">
        <v>102</v>
      </c>
      <c r="B4" s="87" t="s">
        <v>107</v>
      </c>
      <c r="C4" s="87" t="s">
        <v>108</v>
      </c>
      <c r="D4" s="90" t="s">
        <v>109</v>
      </c>
      <c r="F4" s="87" t="s">
        <v>122</v>
      </c>
      <c r="G4" s="87">
        <v>1</v>
      </c>
      <c r="H4" s="87">
        <v>1</v>
      </c>
      <c r="I4" s="87">
        <f t="shared" si="0"/>
        <v>1</v>
      </c>
      <c r="J4" s="96">
        <v>2.95</v>
      </c>
      <c r="K4" s="88">
        <f>J4*0.09</f>
        <v>0.26550000000000001</v>
      </c>
      <c r="L4" s="88">
        <f>(J4*G4)+K4</f>
        <v>3.2155</v>
      </c>
      <c r="M4" s="88">
        <f>(L4/I4)*2</f>
        <v>6.431</v>
      </c>
    </row>
    <row r="5" spans="1:13">
      <c r="A5" s="89" t="s">
        <v>102</v>
      </c>
      <c r="B5" s="81" t="s">
        <v>110</v>
      </c>
      <c r="D5" s="90" t="s">
        <v>83</v>
      </c>
      <c r="F5" s="87" t="s">
        <v>122</v>
      </c>
      <c r="G5" s="87">
        <v>1</v>
      </c>
      <c r="H5" s="87">
        <v>1</v>
      </c>
      <c r="I5" s="87">
        <f t="shared" si="0"/>
        <v>1</v>
      </c>
      <c r="J5" s="88">
        <v>4.97</v>
      </c>
      <c r="K5" s="88">
        <f>J5*0.09</f>
        <v>0.44729999999999998</v>
      </c>
      <c r="L5" s="88">
        <f>(J5*G5)+K5</f>
        <v>5.4173</v>
      </c>
      <c r="M5" s="88">
        <f>(L5/I5)*1</f>
        <v>5.4173</v>
      </c>
    </row>
    <row r="6" spans="1:13" ht="15">
      <c r="A6" s="89" t="s">
        <v>102</v>
      </c>
      <c r="B6" s="81" t="s">
        <v>121</v>
      </c>
      <c r="D6" s="80" t="s">
        <v>101</v>
      </c>
      <c r="F6" s="87" t="s">
        <v>122</v>
      </c>
      <c r="G6" s="87">
        <v>1</v>
      </c>
      <c r="H6" s="87">
        <v>8</v>
      </c>
      <c r="I6" s="87">
        <f t="shared" si="0"/>
        <v>8</v>
      </c>
      <c r="J6" s="88">
        <v>26.56</v>
      </c>
      <c r="K6" s="88">
        <f>J6*0.09</f>
        <v>2.3903999999999996</v>
      </c>
      <c r="L6" s="88">
        <f>(J6*G6)+K6</f>
        <v>28.950399999999998</v>
      </c>
      <c r="M6" s="88">
        <f>(L6/I6)*4</f>
        <v>14.475199999999999</v>
      </c>
    </row>
    <row r="7" spans="1:13">
      <c r="A7" s="89" t="s">
        <v>102</v>
      </c>
      <c r="B7" s="81" t="s">
        <v>111</v>
      </c>
      <c r="D7" s="87" t="s">
        <v>83</v>
      </c>
      <c r="F7" s="87" t="s">
        <v>123</v>
      </c>
      <c r="G7" s="87">
        <v>1</v>
      </c>
      <c r="H7" s="87">
        <v>100</v>
      </c>
      <c r="I7" s="87">
        <f>H7*G7</f>
        <v>100</v>
      </c>
      <c r="J7" s="88">
        <v>6.47</v>
      </c>
      <c r="K7" s="88">
        <f>J7*0.09</f>
        <v>0.58229999999999993</v>
      </c>
      <c r="L7" s="88">
        <f>(J7*G7)+K7</f>
        <v>7.0522999999999998</v>
      </c>
      <c r="M7" s="88">
        <f>(L7/I7)*20</f>
        <v>1.41046</v>
      </c>
    </row>
    <row r="8" spans="1:13">
      <c r="A8" s="89" t="s">
        <v>102</v>
      </c>
      <c r="B8" s="81" t="s">
        <v>116</v>
      </c>
      <c r="C8" s="87" t="s">
        <v>117</v>
      </c>
      <c r="D8" s="87" t="s">
        <v>83</v>
      </c>
      <c r="F8" s="87" t="s">
        <v>123</v>
      </c>
      <c r="G8" s="87">
        <v>1</v>
      </c>
      <c r="H8" s="87">
        <v>1</v>
      </c>
      <c r="I8" s="87">
        <v>1</v>
      </c>
      <c r="J8" s="88">
        <v>17</v>
      </c>
      <c r="K8" s="88">
        <f>J8*0.09</f>
        <v>1.53</v>
      </c>
      <c r="L8" s="88">
        <f>(J8*G8)+K8</f>
        <v>18.53</v>
      </c>
      <c r="M8" s="88">
        <f>(L8/I8)/3</f>
        <v>6.1766666666666667</v>
      </c>
    </row>
    <row r="9" spans="1:13" ht="15">
      <c r="A9" s="89" t="s">
        <v>102</v>
      </c>
      <c r="B9" s="81" t="s">
        <v>118</v>
      </c>
      <c r="C9" s="87" t="s">
        <v>119</v>
      </c>
      <c r="D9" s="80" t="s">
        <v>83</v>
      </c>
      <c r="F9" s="87" t="s">
        <v>123</v>
      </c>
      <c r="G9" s="87">
        <v>1</v>
      </c>
      <c r="H9" s="87">
        <v>400</v>
      </c>
      <c r="I9" s="87">
        <f>H9*G9</f>
        <v>400</v>
      </c>
      <c r="J9" s="88">
        <v>4</v>
      </c>
      <c r="K9" s="88">
        <f>J9*0.09</f>
        <v>0.36</v>
      </c>
      <c r="L9" s="88">
        <f>(J9*G9)+K9</f>
        <v>4.3600000000000003</v>
      </c>
      <c r="M9" s="88">
        <f>(L9/I9)*8</f>
        <v>8.72E-2</v>
      </c>
    </row>
    <row r="10" spans="1:13">
      <c r="A10" s="89" t="s">
        <v>104</v>
      </c>
      <c r="B10" s="82" t="s">
        <v>115</v>
      </c>
      <c r="C10" s="83" t="s">
        <v>31</v>
      </c>
      <c r="D10" s="87" t="s">
        <v>114</v>
      </c>
      <c r="E10" s="84" t="s">
        <v>100</v>
      </c>
      <c r="F10" s="87" t="s">
        <v>123</v>
      </c>
      <c r="G10" s="87">
        <v>1</v>
      </c>
      <c r="H10" s="87">
        <v>500</v>
      </c>
      <c r="I10" s="87">
        <f t="shared" ref="I10:I12" si="1">H10*G10</f>
        <v>500</v>
      </c>
      <c r="J10" s="97">
        <v>108.3</v>
      </c>
      <c r="K10" s="88">
        <v>0</v>
      </c>
      <c r="L10" s="88">
        <f t="shared" ref="L10:L15" si="2">(J10*G10)+K10</f>
        <v>108.3</v>
      </c>
      <c r="M10" s="88">
        <f>(L10/I10)*45</f>
        <v>9.7469999999999999</v>
      </c>
    </row>
    <row r="11" spans="1:13">
      <c r="A11" s="89" t="s">
        <v>104</v>
      </c>
      <c r="B11" s="82" t="s">
        <v>32</v>
      </c>
      <c r="C11" s="83" t="s">
        <v>33</v>
      </c>
      <c r="D11" s="87" t="s">
        <v>114</v>
      </c>
      <c r="E11" s="84" t="s">
        <v>100</v>
      </c>
      <c r="F11" s="87" t="s">
        <v>123</v>
      </c>
      <c r="G11" s="87">
        <v>1</v>
      </c>
      <c r="H11" s="87">
        <v>500</v>
      </c>
      <c r="I11" s="87">
        <f t="shared" si="1"/>
        <v>500</v>
      </c>
      <c r="J11" s="97">
        <v>57.3</v>
      </c>
      <c r="K11" s="88">
        <v>0</v>
      </c>
      <c r="L11" s="88">
        <f t="shared" si="2"/>
        <v>57.3</v>
      </c>
      <c r="M11" s="88">
        <f>(L11/I11)*18</f>
        <v>2.0627999999999997</v>
      </c>
    </row>
    <row r="12" spans="1:13">
      <c r="A12" s="89" t="s">
        <v>104</v>
      </c>
      <c r="B12" s="82" t="s">
        <v>34</v>
      </c>
      <c r="C12" s="83" t="s">
        <v>35</v>
      </c>
      <c r="D12" s="87" t="s">
        <v>114</v>
      </c>
      <c r="E12" s="84" t="s">
        <v>100</v>
      </c>
      <c r="F12" s="87" t="s">
        <v>123</v>
      </c>
      <c r="G12" s="87">
        <v>1</v>
      </c>
      <c r="H12" s="87">
        <v>500</v>
      </c>
      <c r="I12" s="87">
        <f t="shared" si="1"/>
        <v>500</v>
      </c>
      <c r="J12" s="97">
        <v>167.44</v>
      </c>
      <c r="K12" s="88">
        <v>0</v>
      </c>
      <c r="L12" s="88">
        <f t="shared" si="2"/>
        <v>167.44</v>
      </c>
      <c r="M12" s="88">
        <f>(L12/I12)*30</f>
        <v>10.0464</v>
      </c>
    </row>
    <row r="13" spans="1:13">
      <c r="A13" s="89" t="s">
        <v>105</v>
      </c>
      <c r="B13" s="87" t="s">
        <v>92</v>
      </c>
      <c r="D13" s="87" t="s">
        <v>95</v>
      </c>
      <c r="E13" s="90" t="s">
        <v>91</v>
      </c>
      <c r="F13" s="87" t="s">
        <v>123</v>
      </c>
      <c r="G13" s="87">
        <v>1</v>
      </c>
      <c r="I13" s="87">
        <v>1</v>
      </c>
      <c r="J13" s="88">
        <v>160</v>
      </c>
      <c r="K13" s="88">
        <v>0</v>
      </c>
      <c r="L13" s="88">
        <f t="shared" si="2"/>
        <v>160</v>
      </c>
      <c r="M13" s="88">
        <f>L13*1</f>
        <v>160</v>
      </c>
    </row>
    <row r="14" spans="1:13">
      <c r="A14" s="89" t="s">
        <v>105</v>
      </c>
      <c r="B14" s="87" t="s">
        <v>93</v>
      </c>
      <c r="D14" s="87" t="s">
        <v>96</v>
      </c>
      <c r="E14" s="90" t="s">
        <v>99</v>
      </c>
      <c r="F14" s="87" t="s">
        <v>123</v>
      </c>
      <c r="G14" s="87">
        <v>1</v>
      </c>
      <c r="I14" s="87">
        <v>1</v>
      </c>
      <c r="J14" s="88">
        <v>300</v>
      </c>
      <c r="K14" s="88">
        <v>0</v>
      </c>
      <c r="L14" s="88">
        <f t="shared" si="2"/>
        <v>300</v>
      </c>
      <c r="M14" s="88">
        <f>L14*1</f>
        <v>300</v>
      </c>
    </row>
    <row r="15" spans="1:13">
      <c r="A15" s="89" t="s">
        <v>105</v>
      </c>
      <c r="B15" s="87" t="s">
        <v>94</v>
      </c>
      <c r="D15" s="87" t="s">
        <v>97</v>
      </c>
      <c r="E15" s="82" t="s">
        <v>98</v>
      </c>
      <c r="F15" s="87" t="s">
        <v>123</v>
      </c>
      <c r="G15" s="87">
        <v>1</v>
      </c>
      <c r="I15" s="87">
        <v>1</v>
      </c>
      <c r="J15" s="88">
        <v>25</v>
      </c>
      <c r="K15" s="88">
        <v>0</v>
      </c>
      <c r="L15" s="88">
        <f t="shared" si="2"/>
        <v>25</v>
      </c>
      <c r="M15" s="88">
        <f>L15*20</f>
        <v>500</v>
      </c>
    </row>
    <row r="16" spans="1:13">
      <c r="A16" s="89" t="s">
        <v>112</v>
      </c>
      <c r="B16" s="89" t="s">
        <v>113</v>
      </c>
      <c r="F16" s="87" t="s">
        <v>122</v>
      </c>
      <c r="G16" s="87">
        <v>1</v>
      </c>
      <c r="I16" s="87">
        <v>1</v>
      </c>
      <c r="J16" s="87" t="s">
        <v>125</v>
      </c>
    </row>
    <row r="19" spans="2:13">
      <c r="L19" s="91"/>
      <c r="M19" s="88"/>
    </row>
    <row r="21" spans="2:13" ht="25.5">
      <c r="L21" s="91" t="s">
        <v>126</v>
      </c>
      <c r="M21" s="88">
        <f>SUM(M2:M12)</f>
        <v>77.336771111111119</v>
      </c>
    </row>
    <row r="22" spans="2:13" ht="16.5">
      <c r="B22" s="92"/>
      <c r="L22" s="91"/>
    </row>
    <row r="23" spans="2:13" ht="25.5">
      <c r="L23" s="91" t="s">
        <v>127</v>
      </c>
      <c r="M23" s="88">
        <f>SUM(M2:M17)</f>
        <v>1037.3367711111111</v>
      </c>
    </row>
    <row r="24" spans="2:13">
      <c r="B24" s="82"/>
      <c r="E24" s="88"/>
      <c r="F24" s="88"/>
    </row>
    <row r="25" spans="2:13">
      <c r="B25" s="83"/>
      <c r="E25" s="88"/>
      <c r="F25" s="88"/>
    </row>
    <row r="26" spans="2:13">
      <c r="B26" s="85"/>
      <c r="E26" s="88"/>
      <c r="F26" s="88"/>
    </row>
    <row r="27" spans="2:13">
      <c r="B27" s="82"/>
      <c r="E27" s="88"/>
      <c r="F27" s="88"/>
    </row>
    <row r="28" spans="2:13">
      <c r="B28" s="82"/>
      <c r="E28" s="88"/>
      <c r="F28" s="88"/>
    </row>
    <row r="29" spans="2:13">
      <c r="B29" s="83"/>
      <c r="E29" s="88"/>
      <c r="F29" s="88"/>
    </row>
    <row r="30" spans="2:13">
      <c r="B30" s="85"/>
      <c r="E30" s="88"/>
      <c r="F30" s="88"/>
    </row>
    <row r="31" spans="2:13">
      <c r="B31" s="82"/>
      <c r="E31" s="88"/>
      <c r="F31" s="88"/>
    </row>
    <row r="32" spans="2:13">
      <c r="B32" s="82"/>
      <c r="E32" s="88"/>
      <c r="F32" s="88"/>
    </row>
    <row r="33" spans="2:6">
      <c r="B33" s="83"/>
      <c r="E33" s="88"/>
      <c r="F33" s="88"/>
    </row>
    <row r="34" spans="2:6">
      <c r="B34" s="85"/>
      <c r="E34" s="88"/>
      <c r="F34" s="88"/>
    </row>
  </sheetData>
  <hyperlinks>
    <hyperlink ref="E13" r:id="rId1" tooltip="Call via Hangouts" display="javascript:void(0)"/>
    <hyperlink ref="E14" r:id="rId2" tooltip="Call via Hangouts" display="javascript:void(0)"/>
    <hyperlink ref="D4" r:id="rId3"/>
    <hyperlink ref="D5" r:id="rId4"/>
    <hyperlink ref="D9" r:id="rId5"/>
    <hyperlink ref="D6" r:id="rId6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G9" sqref="G9"/>
    </sheetView>
  </sheetViews>
  <sheetFormatPr defaultColWidth="41" defaultRowHeight="15"/>
  <cols>
    <col min="1" max="1" width="13.42578125" customWidth="1"/>
    <col min="2" max="2" width="22.28515625" bestFit="1" customWidth="1"/>
    <col min="3" max="3" width="7.5703125" bestFit="1" customWidth="1"/>
    <col min="4" max="5" width="3" bestFit="1" customWidth="1"/>
    <col min="6" max="6" width="4.5703125" bestFit="1" customWidth="1"/>
    <col min="7" max="7" width="18.7109375" bestFit="1" customWidth="1"/>
  </cols>
  <sheetData>
    <row r="1" spans="1:7">
      <c r="A1" s="39"/>
      <c r="B1" s="40"/>
      <c r="C1" s="77" t="s">
        <v>64</v>
      </c>
      <c r="D1" s="78"/>
      <c r="E1" s="78"/>
      <c r="F1" s="79"/>
      <c r="G1" s="50" t="s">
        <v>66</v>
      </c>
    </row>
    <row r="2" spans="1:7">
      <c r="A2" s="43" t="s">
        <v>12</v>
      </c>
      <c r="B2" s="44" t="s">
        <v>71</v>
      </c>
      <c r="C2" s="43" t="s">
        <v>54</v>
      </c>
      <c r="D2" s="44" t="s">
        <v>55</v>
      </c>
      <c r="E2" s="44" t="s">
        <v>56</v>
      </c>
      <c r="F2" s="45" t="s">
        <v>57</v>
      </c>
      <c r="G2" s="51"/>
    </row>
    <row r="3" spans="1:7">
      <c r="A3" s="37" t="s">
        <v>8</v>
      </c>
      <c r="B3" s="38">
        <f>20/30</f>
        <v>0.66666666666666663</v>
      </c>
      <c r="C3" s="93">
        <v>10</v>
      </c>
      <c r="D3" s="94">
        <v>10</v>
      </c>
      <c r="E3" s="94">
        <v>10</v>
      </c>
      <c r="F3" s="95">
        <v>10</v>
      </c>
      <c r="G3" s="52">
        <f>(C3*B3)+((D3*B3))+((E3*B3))+((F3*B3)*1.5)</f>
        <v>30</v>
      </c>
    </row>
    <row r="4" spans="1:7" ht="18">
      <c r="A4" s="41" t="s">
        <v>11</v>
      </c>
      <c r="B4" s="42">
        <f>26.7/30</f>
        <v>0.89</v>
      </c>
      <c r="C4" s="34">
        <v>0</v>
      </c>
      <c r="D4" s="35">
        <v>0</v>
      </c>
      <c r="E4" s="35">
        <f>E3</f>
        <v>10</v>
      </c>
      <c r="F4" s="36">
        <f>F3</f>
        <v>10</v>
      </c>
      <c r="G4" s="52">
        <f>(E4*B4)+(F4*B4)</f>
        <v>17.8</v>
      </c>
    </row>
    <row r="5" spans="1:7">
      <c r="A5" s="41" t="s">
        <v>0</v>
      </c>
      <c r="B5" s="42">
        <f>68/30</f>
        <v>2.2666666666666666</v>
      </c>
      <c r="C5" s="34">
        <v>0</v>
      </c>
      <c r="D5" s="35">
        <f>D3</f>
        <v>10</v>
      </c>
      <c r="E5" s="35">
        <v>0</v>
      </c>
      <c r="F5" s="36">
        <f>F3</f>
        <v>10</v>
      </c>
      <c r="G5" s="53">
        <f>(D5*B5)+(F5*B5)</f>
        <v>45.333333333333329</v>
      </c>
    </row>
    <row r="6" spans="1:7">
      <c r="A6" s="47" t="s">
        <v>67</v>
      </c>
      <c r="B6" s="48"/>
      <c r="C6" s="47">
        <v>3</v>
      </c>
      <c r="D6" s="49">
        <v>3</v>
      </c>
      <c r="E6" s="49">
        <v>3</v>
      </c>
      <c r="F6" s="49">
        <v>3</v>
      </c>
      <c r="G6" s="54">
        <f>SUM(C6:F6)</f>
        <v>12</v>
      </c>
    </row>
    <row r="7" spans="1:7">
      <c r="A7" t="s">
        <v>63</v>
      </c>
    </row>
    <row r="9" spans="1:7">
      <c r="A9" t="s">
        <v>62</v>
      </c>
    </row>
    <row r="10" spans="1:7" ht="15.75">
      <c r="A10" s="33" t="s">
        <v>58</v>
      </c>
    </row>
    <row r="11" spans="1:7" ht="18.75">
      <c r="A11" s="33" t="s">
        <v>59</v>
      </c>
    </row>
    <row r="12" spans="1:7" ht="18.75">
      <c r="A12" s="33" t="s">
        <v>60</v>
      </c>
    </row>
    <row r="13" spans="1:7" ht="18.75">
      <c r="A13" s="33" t="s">
        <v>61</v>
      </c>
    </row>
    <row r="14" spans="1:7" ht="15.75" thickBot="1"/>
    <row r="15" spans="1:7">
      <c r="A15" s="67" t="s">
        <v>12</v>
      </c>
      <c r="B15" s="68" t="s">
        <v>13</v>
      </c>
    </row>
    <row r="16" spans="1:7">
      <c r="A16" s="60" t="s">
        <v>8</v>
      </c>
      <c r="B16" s="69" t="s">
        <v>9</v>
      </c>
    </row>
    <row r="17" spans="1:2" ht="18">
      <c r="A17" s="60" t="s">
        <v>11</v>
      </c>
      <c r="B17" s="69" t="s">
        <v>1</v>
      </c>
    </row>
    <row r="18" spans="1:2">
      <c r="A18" s="60" t="s">
        <v>0</v>
      </c>
      <c r="B18" s="69" t="s">
        <v>2</v>
      </c>
    </row>
    <row r="19" spans="1:2">
      <c r="A19" s="70"/>
      <c r="B19" s="57"/>
    </row>
    <row r="20" spans="1:2" ht="15.75" thickBot="1">
      <c r="A20" s="71"/>
      <c r="B20" s="72" t="s">
        <v>65</v>
      </c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Pilot Planning</vt:lpstr>
      <vt:lpstr>2013 List</vt:lpstr>
      <vt:lpstr>2014 List</vt:lpstr>
      <vt:lpstr>Cost Summary</vt:lpstr>
      <vt:lpstr>Vial Prep 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bbeyea</cp:lastModifiedBy>
  <cp:lastPrinted>2013-07-12T14:55:45Z</cp:lastPrinted>
  <dcterms:created xsi:type="dcterms:W3CDTF">2012-05-14T19:33:36Z</dcterms:created>
  <dcterms:modified xsi:type="dcterms:W3CDTF">2016-02-26T14:56:07Z</dcterms:modified>
</cp:coreProperties>
</file>