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aterisalk/Documents/University of Waterloo/Github Repositories/SanduskyBay/"/>
    </mc:Choice>
  </mc:AlternateContent>
  <bookViews>
    <workbookView xWindow="520" yWindow="500" windowWidth="23000" windowHeight="13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M51" i="1"/>
  <c r="N51" i="1"/>
  <c r="O51" i="1"/>
  <c r="L51" i="1"/>
  <c r="P51" i="1"/>
  <c r="Q51" i="1"/>
  <c r="U51" i="1"/>
  <c r="D52" i="1"/>
  <c r="M52" i="1"/>
  <c r="N52" i="1"/>
  <c r="O52" i="1"/>
  <c r="L52" i="1"/>
  <c r="P52" i="1"/>
  <c r="Q52" i="1"/>
  <c r="U52" i="1"/>
  <c r="D53" i="1"/>
  <c r="M53" i="1"/>
  <c r="N53" i="1"/>
  <c r="O53" i="1"/>
  <c r="L53" i="1"/>
  <c r="P53" i="1"/>
  <c r="Q53" i="1"/>
  <c r="U53" i="1"/>
  <c r="D54" i="1"/>
  <c r="M54" i="1"/>
  <c r="N54" i="1"/>
  <c r="O54" i="1"/>
  <c r="L54" i="1"/>
  <c r="P54" i="1"/>
  <c r="Q54" i="1"/>
  <c r="U54" i="1"/>
  <c r="D55" i="1"/>
  <c r="M55" i="1"/>
  <c r="N55" i="1"/>
  <c r="O55" i="1"/>
  <c r="L55" i="1"/>
  <c r="P55" i="1"/>
  <c r="Q55" i="1"/>
  <c r="U55" i="1"/>
  <c r="D56" i="1"/>
  <c r="M56" i="1"/>
  <c r="N56" i="1"/>
  <c r="O56" i="1"/>
  <c r="L56" i="1"/>
  <c r="P56" i="1"/>
  <c r="Q56" i="1"/>
  <c r="U56" i="1"/>
  <c r="U58" i="1"/>
  <c r="AB58" i="1"/>
  <c r="K52" i="1"/>
  <c r="T52" i="1"/>
  <c r="S52" i="1"/>
  <c r="V52" i="1"/>
  <c r="K53" i="1"/>
  <c r="T53" i="1"/>
  <c r="S53" i="1"/>
  <c r="V53" i="1"/>
  <c r="K55" i="1"/>
  <c r="T55" i="1"/>
  <c r="S55" i="1"/>
  <c r="V55" i="1"/>
  <c r="V58" i="1"/>
  <c r="AC58" i="1"/>
  <c r="W51" i="1"/>
  <c r="W52" i="1"/>
  <c r="W53" i="1"/>
  <c r="W54" i="1"/>
  <c r="W55" i="1"/>
  <c r="W56" i="1"/>
  <c r="W58" i="1"/>
  <c r="AD58" i="1"/>
  <c r="U57" i="1"/>
  <c r="AB57" i="1"/>
  <c r="V57" i="1"/>
  <c r="AC57" i="1"/>
  <c r="W57" i="1"/>
  <c r="AD57" i="1"/>
  <c r="D36" i="1"/>
  <c r="M36" i="1"/>
  <c r="N36" i="1"/>
  <c r="O36" i="1"/>
  <c r="L36" i="1"/>
  <c r="P36" i="1"/>
  <c r="Q36" i="1"/>
  <c r="U36" i="1"/>
  <c r="D37" i="1"/>
  <c r="M37" i="1"/>
  <c r="N37" i="1"/>
  <c r="O37" i="1"/>
  <c r="L37" i="1"/>
  <c r="P37" i="1"/>
  <c r="Q37" i="1"/>
  <c r="U37" i="1"/>
  <c r="D38" i="1"/>
  <c r="M38" i="1"/>
  <c r="N38" i="1"/>
  <c r="O38" i="1"/>
  <c r="L38" i="1"/>
  <c r="P38" i="1"/>
  <c r="Q38" i="1"/>
  <c r="U38" i="1"/>
  <c r="D40" i="1"/>
  <c r="M40" i="1"/>
  <c r="N40" i="1"/>
  <c r="O40" i="1"/>
  <c r="L40" i="1"/>
  <c r="P40" i="1"/>
  <c r="Q40" i="1"/>
  <c r="U40" i="1"/>
  <c r="D41" i="1"/>
  <c r="M41" i="1"/>
  <c r="N41" i="1"/>
  <c r="O41" i="1"/>
  <c r="L41" i="1"/>
  <c r="P41" i="1"/>
  <c r="Q41" i="1"/>
  <c r="U41" i="1"/>
  <c r="D42" i="1"/>
  <c r="M42" i="1"/>
  <c r="N42" i="1"/>
  <c r="O42" i="1"/>
  <c r="L42" i="1"/>
  <c r="P42" i="1"/>
  <c r="Q42" i="1"/>
  <c r="U42" i="1"/>
  <c r="U45" i="1"/>
  <c r="AB45" i="1"/>
  <c r="K38" i="1"/>
  <c r="T38" i="1"/>
  <c r="S38" i="1"/>
  <c r="V38" i="1"/>
  <c r="V45" i="1"/>
  <c r="AC45" i="1"/>
  <c r="W36" i="1"/>
  <c r="W37" i="1"/>
  <c r="W38" i="1"/>
  <c r="W40" i="1"/>
  <c r="W41" i="1"/>
  <c r="W42" i="1"/>
  <c r="W45" i="1"/>
  <c r="AD45" i="1"/>
  <c r="U44" i="1"/>
  <c r="AB44" i="1"/>
  <c r="V44" i="1"/>
  <c r="AC44" i="1"/>
  <c r="W44" i="1"/>
  <c r="AD44" i="1"/>
  <c r="D21" i="1"/>
  <c r="M21" i="1"/>
  <c r="N21" i="1"/>
  <c r="O21" i="1"/>
  <c r="L21" i="1"/>
  <c r="P21" i="1"/>
  <c r="Q21" i="1"/>
  <c r="U21" i="1"/>
  <c r="D22" i="1"/>
  <c r="M22" i="1"/>
  <c r="N22" i="1"/>
  <c r="O22" i="1"/>
  <c r="L22" i="1"/>
  <c r="P22" i="1"/>
  <c r="Q22" i="1"/>
  <c r="U22" i="1"/>
  <c r="D23" i="1"/>
  <c r="M23" i="1"/>
  <c r="N23" i="1"/>
  <c r="O23" i="1"/>
  <c r="L23" i="1"/>
  <c r="P23" i="1"/>
  <c r="Q23" i="1"/>
  <c r="U23" i="1"/>
  <c r="D24" i="1"/>
  <c r="M24" i="1"/>
  <c r="N24" i="1"/>
  <c r="O24" i="1"/>
  <c r="L24" i="1"/>
  <c r="P24" i="1"/>
  <c r="Q24" i="1"/>
  <c r="U24" i="1"/>
  <c r="D25" i="1"/>
  <c r="M25" i="1"/>
  <c r="N25" i="1"/>
  <c r="O25" i="1"/>
  <c r="L25" i="1"/>
  <c r="P25" i="1"/>
  <c r="Q25" i="1"/>
  <c r="U25" i="1"/>
  <c r="D26" i="1"/>
  <c r="M26" i="1"/>
  <c r="N26" i="1"/>
  <c r="O26" i="1"/>
  <c r="L26" i="1"/>
  <c r="P26" i="1"/>
  <c r="Q26" i="1"/>
  <c r="U26" i="1"/>
  <c r="D27" i="1"/>
  <c r="M27" i="1"/>
  <c r="N27" i="1"/>
  <c r="O27" i="1"/>
  <c r="L27" i="1"/>
  <c r="P27" i="1"/>
  <c r="Q27" i="1"/>
  <c r="U27" i="1"/>
  <c r="D28" i="1"/>
  <c r="M28" i="1"/>
  <c r="N28" i="1"/>
  <c r="O28" i="1"/>
  <c r="L28" i="1"/>
  <c r="P28" i="1"/>
  <c r="Q28" i="1"/>
  <c r="U28" i="1"/>
  <c r="U29" i="1"/>
  <c r="AB29" i="1"/>
  <c r="K22" i="1"/>
  <c r="T22" i="1"/>
  <c r="S22" i="1"/>
  <c r="V22" i="1"/>
  <c r="K23" i="1"/>
  <c r="T23" i="1"/>
  <c r="S23" i="1"/>
  <c r="V23" i="1"/>
  <c r="K24" i="1"/>
  <c r="T24" i="1"/>
  <c r="S24" i="1"/>
  <c r="V24" i="1"/>
  <c r="K25" i="1"/>
  <c r="T25" i="1"/>
  <c r="S25" i="1"/>
  <c r="V25" i="1"/>
  <c r="K26" i="1"/>
  <c r="T26" i="1"/>
  <c r="S26" i="1"/>
  <c r="V26" i="1"/>
  <c r="K27" i="1"/>
  <c r="T27" i="1"/>
  <c r="S27" i="1"/>
  <c r="V27" i="1"/>
  <c r="K28" i="1"/>
  <c r="T28" i="1"/>
  <c r="S28" i="1"/>
  <c r="V28" i="1"/>
  <c r="V29" i="1"/>
  <c r="AC29" i="1"/>
  <c r="W21" i="1"/>
  <c r="W22" i="1"/>
  <c r="W23" i="1"/>
  <c r="W26" i="1"/>
  <c r="W27" i="1"/>
  <c r="W28" i="1"/>
  <c r="W29" i="1"/>
  <c r="AD29" i="1"/>
  <c r="U30" i="1"/>
  <c r="AB30" i="1"/>
  <c r="V30" i="1"/>
  <c r="AC30" i="1"/>
  <c r="W30" i="1"/>
  <c r="AD30" i="1"/>
  <c r="D6" i="1"/>
  <c r="M6" i="1"/>
  <c r="N6" i="1"/>
  <c r="O6" i="1"/>
  <c r="L6" i="1"/>
  <c r="P6" i="1"/>
  <c r="Q6" i="1"/>
  <c r="U6" i="1"/>
  <c r="D7" i="1"/>
  <c r="M7" i="1"/>
  <c r="N7" i="1"/>
  <c r="O7" i="1"/>
  <c r="L7" i="1"/>
  <c r="P7" i="1"/>
  <c r="Q7" i="1"/>
  <c r="U7" i="1"/>
  <c r="D8" i="1"/>
  <c r="M8" i="1"/>
  <c r="N8" i="1"/>
  <c r="O8" i="1"/>
  <c r="L8" i="1"/>
  <c r="P8" i="1"/>
  <c r="Q8" i="1"/>
  <c r="U8" i="1"/>
  <c r="D9" i="1"/>
  <c r="M9" i="1"/>
  <c r="N9" i="1"/>
  <c r="O9" i="1"/>
  <c r="L9" i="1"/>
  <c r="P9" i="1"/>
  <c r="Q9" i="1"/>
  <c r="U9" i="1"/>
  <c r="D10" i="1"/>
  <c r="M10" i="1"/>
  <c r="N10" i="1"/>
  <c r="O10" i="1"/>
  <c r="L10" i="1"/>
  <c r="P10" i="1"/>
  <c r="Q10" i="1"/>
  <c r="U10" i="1"/>
  <c r="D11" i="1"/>
  <c r="M11" i="1"/>
  <c r="N11" i="1"/>
  <c r="O11" i="1"/>
  <c r="L11" i="1"/>
  <c r="P11" i="1"/>
  <c r="Q11" i="1"/>
  <c r="U11" i="1"/>
  <c r="D12" i="1"/>
  <c r="M12" i="1"/>
  <c r="N12" i="1"/>
  <c r="O12" i="1"/>
  <c r="L12" i="1"/>
  <c r="P12" i="1"/>
  <c r="Q12" i="1"/>
  <c r="U12" i="1"/>
  <c r="D13" i="1"/>
  <c r="M13" i="1"/>
  <c r="N13" i="1"/>
  <c r="O13" i="1"/>
  <c r="L13" i="1"/>
  <c r="P13" i="1"/>
  <c r="Q13" i="1"/>
  <c r="U13" i="1"/>
  <c r="U15" i="1"/>
  <c r="AB15" i="1"/>
  <c r="K10" i="1"/>
  <c r="T10" i="1"/>
  <c r="S10" i="1"/>
  <c r="V10" i="1"/>
  <c r="K11" i="1"/>
  <c r="T11" i="1"/>
  <c r="S11" i="1"/>
  <c r="V11" i="1"/>
  <c r="K13" i="1"/>
  <c r="T13" i="1"/>
  <c r="S13" i="1"/>
  <c r="V13" i="1"/>
  <c r="V15" i="1"/>
  <c r="AC15" i="1"/>
  <c r="W6" i="1"/>
  <c r="W7" i="1"/>
  <c r="W8" i="1"/>
  <c r="W9" i="1"/>
  <c r="W10" i="1"/>
  <c r="W11" i="1"/>
  <c r="W12" i="1"/>
  <c r="W13" i="1"/>
  <c r="W15" i="1"/>
  <c r="AD15" i="1"/>
  <c r="U14" i="1"/>
  <c r="AB14" i="1"/>
  <c r="V14" i="1"/>
  <c r="AC14" i="1"/>
  <c r="W14" i="1"/>
  <c r="AD14" i="1"/>
  <c r="X6" i="1"/>
  <c r="X7" i="1"/>
  <c r="X8" i="1"/>
  <c r="X9" i="1"/>
  <c r="X10" i="1"/>
  <c r="X11" i="1"/>
  <c r="X12" i="1"/>
  <c r="X13" i="1"/>
  <c r="X14" i="1"/>
  <c r="AE14" i="1"/>
  <c r="X15" i="1"/>
  <c r="AE15" i="1"/>
  <c r="X51" i="1"/>
  <c r="X52" i="1"/>
  <c r="X53" i="1"/>
  <c r="X54" i="1"/>
  <c r="X55" i="1"/>
  <c r="X56" i="1"/>
  <c r="X58" i="1"/>
  <c r="AE58" i="1"/>
  <c r="X57" i="1"/>
  <c r="AE57" i="1"/>
  <c r="X36" i="1"/>
  <c r="X37" i="1"/>
  <c r="X38" i="1"/>
  <c r="X40" i="1"/>
  <c r="X41" i="1"/>
  <c r="X42" i="1"/>
  <c r="X45" i="1"/>
  <c r="AE45" i="1"/>
  <c r="X44" i="1"/>
  <c r="AE44" i="1"/>
  <c r="X21" i="1"/>
  <c r="X22" i="1"/>
  <c r="X23" i="1"/>
  <c r="X24" i="1"/>
  <c r="X25" i="1"/>
  <c r="X26" i="1"/>
  <c r="X27" i="1"/>
  <c r="X28" i="1"/>
  <c r="X30" i="1"/>
  <c r="AE30" i="1"/>
  <c r="X29" i="1"/>
  <c r="AE29" i="1"/>
  <c r="Y51" i="1"/>
  <c r="Y52" i="1"/>
  <c r="Y53" i="1"/>
  <c r="Y54" i="1"/>
  <c r="Y55" i="1"/>
  <c r="Y56" i="1"/>
  <c r="Y36" i="1"/>
  <c r="Y37" i="1"/>
  <c r="Y38" i="1"/>
  <c r="Y40" i="1"/>
  <c r="Y41" i="1"/>
  <c r="Y42" i="1"/>
  <c r="Y21" i="1"/>
  <c r="Y22" i="1"/>
  <c r="Y23" i="1"/>
  <c r="Y24" i="1"/>
  <c r="Y25" i="1"/>
  <c r="Y26" i="1"/>
  <c r="Y27" i="1"/>
  <c r="Y28" i="1"/>
  <c r="Y6" i="1"/>
  <c r="Y7" i="1"/>
  <c r="Y8" i="1"/>
  <c r="Y9" i="1"/>
  <c r="Y10" i="1"/>
  <c r="Y11" i="1"/>
  <c r="Y12" i="1"/>
  <c r="Y13" i="1"/>
  <c r="Y64" i="1"/>
  <c r="AA51" i="1"/>
  <c r="AA52" i="1"/>
  <c r="AA53" i="1"/>
  <c r="AA54" i="1"/>
  <c r="AA55" i="1"/>
  <c r="AA56" i="1"/>
  <c r="AA36" i="1"/>
  <c r="AA37" i="1"/>
  <c r="AA38" i="1"/>
  <c r="AA40" i="1"/>
  <c r="AA41" i="1"/>
  <c r="AA42" i="1"/>
  <c r="AA21" i="1"/>
  <c r="AA22" i="1"/>
  <c r="AA23" i="1"/>
  <c r="AA24" i="1"/>
  <c r="AA25" i="1"/>
  <c r="AA26" i="1"/>
  <c r="AA27" i="1"/>
  <c r="AA28" i="1"/>
  <c r="AA6" i="1"/>
  <c r="AA7" i="1"/>
  <c r="AA8" i="1"/>
  <c r="AA9" i="1"/>
  <c r="AA10" i="1"/>
  <c r="AA11" i="1"/>
  <c r="AA12" i="1"/>
  <c r="AA13" i="1"/>
  <c r="AA64" i="1"/>
  <c r="Z51" i="1"/>
  <c r="Z52" i="1"/>
  <c r="Z53" i="1"/>
  <c r="Z54" i="1"/>
  <c r="Z55" i="1"/>
  <c r="Z56" i="1"/>
  <c r="Z36" i="1"/>
  <c r="Z37" i="1"/>
  <c r="Z38" i="1"/>
  <c r="Z40" i="1"/>
  <c r="Z41" i="1"/>
  <c r="Z42" i="1"/>
  <c r="Z21" i="1"/>
  <c r="Z22" i="1"/>
  <c r="Z23" i="1"/>
  <c r="Z24" i="1"/>
  <c r="Z25" i="1"/>
  <c r="Z26" i="1"/>
  <c r="Z27" i="1"/>
  <c r="Z28" i="1"/>
  <c r="Z6" i="1"/>
  <c r="Z7" i="1"/>
  <c r="Z8" i="1"/>
  <c r="Z9" i="1"/>
  <c r="Z10" i="1"/>
  <c r="Z11" i="1"/>
  <c r="Z12" i="1"/>
  <c r="Z13" i="1"/>
  <c r="Z64" i="1"/>
  <c r="Z14" i="1"/>
  <c r="K6" i="1"/>
  <c r="AA19" i="1"/>
  <c r="V62" i="1"/>
  <c r="W62" i="1"/>
  <c r="X62" i="1"/>
  <c r="Y62" i="1"/>
  <c r="Z62" i="1"/>
  <c r="AA62" i="1"/>
  <c r="V61" i="1"/>
  <c r="W61" i="1"/>
  <c r="X61" i="1"/>
  <c r="Y61" i="1"/>
  <c r="Z61" i="1"/>
  <c r="AA61" i="1"/>
  <c r="V60" i="1"/>
  <c r="W60" i="1"/>
  <c r="X60" i="1"/>
  <c r="Y60" i="1"/>
  <c r="Z60" i="1"/>
  <c r="AA60" i="1"/>
  <c r="V59" i="1"/>
  <c r="W59" i="1"/>
  <c r="X59" i="1"/>
  <c r="Y59" i="1"/>
  <c r="Z59" i="1"/>
  <c r="AA59" i="1"/>
  <c r="Y58" i="1"/>
  <c r="Z58" i="1"/>
  <c r="AA58" i="1"/>
  <c r="Y57" i="1"/>
  <c r="Z57" i="1"/>
  <c r="AA57" i="1"/>
  <c r="U62" i="1"/>
  <c r="U61" i="1"/>
  <c r="U60" i="1"/>
  <c r="U59" i="1"/>
  <c r="X34" i="1"/>
  <c r="X33" i="1"/>
  <c r="X49" i="1"/>
  <c r="X48" i="1"/>
  <c r="X47" i="1"/>
  <c r="D39" i="1"/>
  <c r="M39" i="1"/>
  <c r="N39" i="1"/>
  <c r="O39" i="1"/>
  <c r="L39" i="1"/>
  <c r="P39" i="1"/>
  <c r="Q39" i="1"/>
  <c r="U39" i="1"/>
  <c r="K39" i="1"/>
  <c r="T39" i="1"/>
  <c r="S39" i="1"/>
  <c r="V39" i="1"/>
  <c r="W39" i="1"/>
  <c r="X39" i="1"/>
  <c r="D43" i="1"/>
  <c r="M43" i="1"/>
  <c r="N43" i="1"/>
  <c r="O43" i="1"/>
  <c r="L43" i="1"/>
  <c r="P43" i="1"/>
  <c r="Q43" i="1"/>
  <c r="U43" i="1"/>
  <c r="K43" i="1"/>
  <c r="T43" i="1"/>
  <c r="S43" i="1"/>
  <c r="V43" i="1"/>
  <c r="W43" i="1"/>
  <c r="X43" i="1"/>
  <c r="V49" i="1"/>
  <c r="W49" i="1"/>
  <c r="Y49" i="1"/>
  <c r="Z49" i="1"/>
  <c r="AA49" i="1"/>
  <c r="V48" i="1"/>
  <c r="W48" i="1"/>
  <c r="Y48" i="1"/>
  <c r="Z48" i="1"/>
  <c r="AA48" i="1"/>
  <c r="V47" i="1"/>
  <c r="W47" i="1"/>
  <c r="Y47" i="1"/>
  <c r="Z47" i="1"/>
  <c r="AA47" i="1"/>
  <c r="V46" i="1"/>
  <c r="W46" i="1"/>
  <c r="X46" i="1"/>
  <c r="Y46" i="1"/>
  <c r="Z46" i="1"/>
  <c r="AA46" i="1"/>
  <c r="Y45" i="1"/>
  <c r="Z45" i="1"/>
  <c r="AA45" i="1"/>
  <c r="Y44" i="1"/>
  <c r="Z44" i="1"/>
  <c r="AA44" i="1"/>
  <c r="U49" i="1"/>
  <c r="U48" i="1"/>
  <c r="U47" i="1"/>
  <c r="U46" i="1"/>
  <c r="Y34" i="1"/>
  <c r="Z34" i="1"/>
  <c r="AA34" i="1"/>
  <c r="Y33" i="1"/>
  <c r="Z33" i="1"/>
  <c r="AA33" i="1"/>
  <c r="X32" i="1"/>
  <c r="Y32" i="1"/>
  <c r="Z32" i="1"/>
  <c r="AA32" i="1"/>
  <c r="X31" i="1"/>
  <c r="Y31" i="1"/>
  <c r="Z31" i="1"/>
  <c r="AA31" i="1"/>
  <c r="Y30" i="1"/>
  <c r="Z30" i="1"/>
  <c r="AA30" i="1"/>
  <c r="Y29" i="1"/>
  <c r="Z29" i="1"/>
  <c r="AA29" i="1"/>
  <c r="X19" i="1"/>
  <c r="Y19" i="1"/>
  <c r="Z19" i="1"/>
  <c r="X18" i="1"/>
  <c r="Y18" i="1"/>
  <c r="Z18" i="1"/>
  <c r="AA18" i="1"/>
  <c r="X17" i="1"/>
  <c r="Y17" i="1"/>
  <c r="Z17" i="1"/>
  <c r="AA17" i="1"/>
  <c r="X16" i="1"/>
  <c r="Y16" i="1"/>
  <c r="Z16" i="1"/>
  <c r="AA16" i="1"/>
  <c r="Y15" i="1"/>
  <c r="Z15" i="1"/>
  <c r="AA15" i="1"/>
  <c r="Y14" i="1"/>
  <c r="AA14" i="1"/>
  <c r="Y39" i="1"/>
  <c r="Z39" i="1"/>
  <c r="AA39" i="1"/>
  <c r="Y43" i="1"/>
  <c r="Z43" i="1"/>
  <c r="AA43" i="1"/>
  <c r="V34" i="1"/>
  <c r="W34" i="1"/>
  <c r="V33" i="1"/>
  <c r="W33" i="1"/>
  <c r="V32" i="1"/>
  <c r="W32" i="1"/>
  <c r="V31" i="1"/>
  <c r="W31" i="1"/>
  <c r="U34" i="1"/>
  <c r="U33" i="1"/>
  <c r="U32" i="1"/>
  <c r="U31" i="1"/>
  <c r="V19" i="1"/>
  <c r="W19" i="1"/>
  <c r="V18" i="1"/>
  <c r="W18" i="1"/>
  <c r="V17" i="1"/>
  <c r="W17" i="1"/>
  <c r="V16" i="1"/>
  <c r="W16" i="1"/>
  <c r="U19" i="1"/>
  <c r="U18" i="1"/>
  <c r="U17" i="1"/>
  <c r="U16" i="1"/>
  <c r="R39" i="1"/>
  <c r="R7" i="1"/>
  <c r="K7" i="1"/>
  <c r="T7" i="1"/>
  <c r="S7" i="1"/>
  <c r="R8" i="1"/>
  <c r="K8" i="1"/>
  <c r="T8" i="1"/>
  <c r="S8" i="1"/>
  <c r="R9" i="1"/>
  <c r="K9" i="1"/>
  <c r="T9" i="1"/>
  <c r="S9" i="1"/>
  <c r="R10" i="1"/>
  <c r="R11" i="1"/>
  <c r="R12" i="1"/>
  <c r="K12" i="1"/>
  <c r="T12" i="1"/>
  <c r="S12" i="1"/>
  <c r="R13" i="1"/>
  <c r="R21" i="1"/>
  <c r="K21" i="1"/>
  <c r="T21" i="1"/>
  <c r="S21" i="1"/>
  <c r="R22" i="1"/>
  <c r="R23" i="1"/>
  <c r="R24" i="1"/>
  <c r="R25" i="1"/>
  <c r="R26" i="1"/>
  <c r="R27" i="1"/>
  <c r="R28" i="1"/>
  <c r="R36" i="1"/>
  <c r="K36" i="1"/>
  <c r="T36" i="1"/>
  <c r="S36" i="1"/>
  <c r="R37" i="1"/>
  <c r="K37" i="1"/>
  <c r="T37" i="1"/>
  <c r="S37" i="1"/>
  <c r="R38" i="1"/>
  <c r="R40" i="1"/>
  <c r="K40" i="1"/>
  <c r="T40" i="1"/>
  <c r="S40" i="1"/>
  <c r="R41" i="1"/>
  <c r="K41" i="1"/>
  <c r="T41" i="1"/>
  <c r="S41" i="1"/>
  <c r="R42" i="1"/>
  <c r="K42" i="1"/>
  <c r="T42" i="1"/>
  <c r="S42" i="1"/>
  <c r="R43" i="1"/>
  <c r="R51" i="1"/>
  <c r="K51" i="1"/>
  <c r="T51" i="1"/>
  <c r="S51" i="1"/>
  <c r="R52" i="1"/>
  <c r="R53" i="1"/>
  <c r="R54" i="1"/>
  <c r="K54" i="1"/>
  <c r="T54" i="1"/>
  <c r="S54" i="1"/>
  <c r="R55" i="1"/>
  <c r="R56" i="1"/>
  <c r="K56" i="1"/>
  <c r="T56" i="1"/>
  <c r="S56" i="1"/>
  <c r="T6" i="1"/>
  <c r="S6" i="1"/>
  <c r="R6" i="1"/>
  <c r="D4" i="1"/>
  <c r="D5" i="1"/>
  <c r="D18" i="1"/>
  <c r="D19" i="1"/>
  <c r="D20" i="1"/>
  <c r="D33" i="1"/>
  <c r="D34" i="1"/>
  <c r="D35" i="1"/>
  <c r="D48" i="1"/>
  <c r="D49" i="1"/>
  <c r="D50" i="1"/>
  <c r="D3" i="1"/>
</calcChain>
</file>

<file path=xl/sharedStrings.xml><?xml version="1.0" encoding="utf-8"?>
<sst xmlns="http://schemas.openxmlformats.org/spreadsheetml/2006/main" count="130" uniqueCount="89">
  <si>
    <t>Sample</t>
  </si>
  <si>
    <t xml:space="preserve">Time </t>
  </si>
  <si>
    <t>h</t>
  </si>
  <si>
    <t>Core volume</t>
  </si>
  <si>
    <t>Core area</t>
  </si>
  <si>
    <t>L</t>
  </si>
  <si>
    <t>m2</t>
  </si>
  <si>
    <t>P29</t>
  </si>
  <si>
    <t>P30</t>
  </si>
  <si>
    <t>P45</t>
  </si>
  <si>
    <t>P46</t>
  </si>
  <si>
    <t>r14-N2O</t>
  </si>
  <si>
    <t>N2 conc</t>
  </si>
  <si>
    <t>F29</t>
  </si>
  <si>
    <t>F30</t>
  </si>
  <si>
    <t>N2O conc</t>
  </si>
  <si>
    <t>F45</t>
  </si>
  <si>
    <t>F46</t>
  </si>
  <si>
    <t>LER Jun15 ET0A</t>
  </si>
  <si>
    <t>LER Jun15 ET0B</t>
  </si>
  <si>
    <t>LER Jun15 ET0C</t>
  </si>
  <si>
    <t>LER Jun15 ET1A</t>
  </si>
  <si>
    <t>LER Jun15 ET1B</t>
  </si>
  <si>
    <t>LER Jun15 ET1C</t>
  </si>
  <si>
    <t>LER Jun15 ET1D</t>
  </si>
  <si>
    <t>LER Jun15 ET2A</t>
  </si>
  <si>
    <t>LER Jun15 ET2B</t>
  </si>
  <si>
    <t>LER Jun15 ET2C</t>
  </si>
  <si>
    <t>LER Jun15 ET2D</t>
  </si>
  <si>
    <t>LER Jul15 ET0A</t>
  </si>
  <si>
    <t>LER Jul15 ET0B</t>
  </si>
  <si>
    <t>LER Jul15 ET0C</t>
  </si>
  <si>
    <t>LER Jul15 ET1A</t>
  </si>
  <si>
    <t>LER Jul15 ET1B</t>
  </si>
  <si>
    <t>LER Jul15 ET1C</t>
  </si>
  <si>
    <t>LER Jul15 ET1D</t>
  </si>
  <si>
    <t>LER Jul15 ET2A</t>
  </si>
  <si>
    <t>LER Jul15 ET2B</t>
  </si>
  <si>
    <t>LER Jul15 ET2C</t>
  </si>
  <si>
    <t>LER Jul15 ET2D</t>
  </si>
  <si>
    <t>LER Aug15 ET0A</t>
  </si>
  <si>
    <t>LER Aug15 ET0B</t>
  </si>
  <si>
    <t>LER Aug15 ET0C</t>
  </si>
  <si>
    <t>LER Aug15 ET1A</t>
  </si>
  <si>
    <t>LER Aug15 ET1B</t>
  </si>
  <si>
    <t>LER Aug15 ET1C</t>
  </si>
  <si>
    <t>LER Aug15 ET1D</t>
  </si>
  <si>
    <t>LER Aug15 ET2A</t>
  </si>
  <si>
    <t>LER Aug15 ET2B</t>
  </si>
  <si>
    <t>LER Aug15 ET2C</t>
  </si>
  <si>
    <t>LER Aug15 ET2D</t>
  </si>
  <si>
    <t>LER Oct15 ET0A</t>
  </si>
  <si>
    <t>LER Oct15 ET0B</t>
  </si>
  <si>
    <t>LER Oct15 ET0C</t>
  </si>
  <si>
    <t>LER Oct15 ET1A</t>
  </si>
  <si>
    <t>LER Oct15 ET1B</t>
  </si>
  <si>
    <t>LER Oct15 ET1C</t>
  </si>
  <si>
    <t>LER Oct15 ET2A</t>
  </si>
  <si>
    <t>LER Oct15 ET2B</t>
  </si>
  <si>
    <t>LER Oct15 ET2C</t>
  </si>
  <si>
    <t>umol L-1</t>
  </si>
  <si>
    <t>nmol L-1</t>
  </si>
  <si>
    <t>umol m-2 h-1</t>
  </si>
  <si>
    <t>D28</t>
  </si>
  <si>
    <t>D29</t>
  </si>
  <si>
    <t>D30</t>
  </si>
  <si>
    <t>A28</t>
  </si>
  <si>
    <t>A29</t>
  </si>
  <si>
    <t>D14</t>
  </si>
  <si>
    <t>A14</t>
  </si>
  <si>
    <t>D14-N2O</t>
  </si>
  <si>
    <t>P14</t>
  </si>
  <si>
    <t>*Control (no 15N addition)</t>
  </si>
  <si>
    <t>Average</t>
  </si>
  <si>
    <t>SD</t>
  </si>
  <si>
    <t>Average 4h</t>
  </si>
  <si>
    <t>SD 4h</t>
  </si>
  <si>
    <t>Average 6h</t>
  </si>
  <si>
    <t>SD 6h</t>
  </si>
  <si>
    <t>*Negative values replaced with 0</t>
  </si>
  <si>
    <t>Average 3h</t>
  </si>
  <si>
    <t>SD 3h</t>
  </si>
  <si>
    <t>D14 Prop</t>
  </si>
  <si>
    <t>A14 Prop</t>
  </si>
  <si>
    <t>D14-N2O Prop</t>
  </si>
  <si>
    <t>total: 28 cores</t>
  </si>
  <si>
    <t>umol L-1 h-1</t>
  </si>
  <si>
    <t xml:space="preserve">depth of water column </t>
  </si>
  <si>
    <t xml:space="preserve">3.2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</si>
</sst>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8"/>
      <name val="Calibri"/>
    </font>
    <font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2" fontId="3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AB1" sqref="AB1:AC1048576"/>
    </sheetView>
  </sheetViews>
  <sheetFormatPr baseColWidth="10" defaultRowHeight="16" x14ac:dyDescent="0.2"/>
  <cols>
    <col min="1" max="1" width="17" style="2" customWidth="1"/>
    <col min="2" max="10" width="10.83203125" style="2"/>
    <col min="11" max="11" width="11.6640625" style="2" bestFit="1" customWidth="1"/>
    <col min="12" max="12" width="12.6640625" style="2" bestFit="1" customWidth="1"/>
    <col min="13" max="15" width="10.83203125" style="2"/>
    <col min="16" max="16" width="18.6640625" style="2" bestFit="1" customWidth="1"/>
    <col min="17" max="18" width="16.5" style="2" bestFit="1" customWidth="1"/>
    <col min="19" max="20" width="17" style="2" bestFit="1" customWidth="1"/>
    <col min="21" max="21" width="17.5" style="2" bestFit="1" customWidth="1"/>
    <col min="22" max="22" width="17" style="2" bestFit="1" customWidth="1"/>
    <col min="23" max="23" width="16.5" style="2" bestFit="1" customWidth="1"/>
    <col min="24" max="16384" width="10.83203125" style="2"/>
  </cols>
  <sheetData>
    <row r="1" spans="1:31" s="1" customForma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82</v>
      </c>
      <c r="Z1" s="1" t="s">
        <v>83</v>
      </c>
      <c r="AA1" s="1" t="s">
        <v>84</v>
      </c>
      <c r="AB1" s="1" t="s">
        <v>68</v>
      </c>
      <c r="AC1" s="1" t="s">
        <v>69</v>
      </c>
      <c r="AD1" s="1" t="s">
        <v>70</v>
      </c>
      <c r="AE1" s="1" t="s">
        <v>71</v>
      </c>
    </row>
    <row r="2" spans="1:31" s="1" customFormat="1" x14ac:dyDescent="0.2">
      <c r="B2" s="1" t="s">
        <v>2</v>
      </c>
      <c r="C2" s="1" t="s">
        <v>5</v>
      </c>
      <c r="D2" s="1" t="s">
        <v>6</v>
      </c>
      <c r="E2" s="1" t="s">
        <v>60</v>
      </c>
      <c r="H2" s="1" t="s">
        <v>61</v>
      </c>
      <c r="K2" s="1" t="s">
        <v>62</v>
      </c>
      <c r="L2" s="1" t="s">
        <v>62</v>
      </c>
      <c r="M2" s="1" t="s">
        <v>62</v>
      </c>
      <c r="N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AB2" s="1" t="s">
        <v>86</v>
      </c>
      <c r="AC2" s="1" t="s">
        <v>86</v>
      </c>
      <c r="AD2" s="1" t="s">
        <v>86</v>
      </c>
      <c r="AE2" s="1" t="s">
        <v>86</v>
      </c>
    </row>
    <row r="3" spans="1:31" x14ac:dyDescent="0.2">
      <c r="A3" s="2" t="s">
        <v>18</v>
      </c>
      <c r="B3" s="2">
        <v>0</v>
      </c>
      <c r="C3" s="2">
        <v>0.7157</v>
      </c>
      <c r="D3" s="4">
        <f>PI()*(0.03375*0.03375)</f>
        <v>3.578470381979624E-3</v>
      </c>
      <c r="E3" s="6">
        <v>569.3913875376528</v>
      </c>
      <c r="F3" s="3">
        <v>7.4095914591158713E-3</v>
      </c>
      <c r="G3" s="3">
        <v>1.545148409453407E-4</v>
      </c>
      <c r="H3" s="6">
        <v>25.762215703543507</v>
      </c>
      <c r="I3" s="3">
        <v>0.14908285808934049</v>
      </c>
      <c r="J3" s="3">
        <v>4.9920788222019445E-2</v>
      </c>
      <c r="V3" s="2" t="s">
        <v>79</v>
      </c>
      <c r="AB3" s="1" t="s">
        <v>87</v>
      </c>
      <c r="AC3" s="1" t="s">
        <v>87</v>
      </c>
      <c r="AD3" s="1" t="s">
        <v>87</v>
      </c>
      <c r="AE3" s="1" t="s">
        <v>87</v>
      </c>
    </row>
    <row r="4" spans="1:31" x14ac:dyDescent="0.2">
      <c r="A4" s="2" t="s">
        <v>19</v>
      </c>
      <c r="B4" s="2">
        <v>0</v>
      </c>
      <c r="C4" s="2">
        <v>0.7157</v>
      </c>
      <c r="D4" s="4">
        <f t="shared" ref="D4:D56" si="0">PI()*(0.03375*0.03375)</f>
        <v>3.578470381979624E-3</v>
      </c>
      <c r="E4" s="6">
        <v>547.15064060239695</v>
      </c>
      <c r="F4" s="3">
        <v>7.4659214747551141E-3</v>
      </c>
      <c r="G4" s="3">
        <v>2.0187051482126439E-4</v>
      </c>
      <c r="H4" s="6">
        <v>46.202316481011209</v>
      </c>
      <c r="I4" s="3">
        <v>0.20536598184755286</v>
      </c>
      <c r="J4" s="3">
        <v>6.9354010742551125E-2</v>
      </c>
      <c r="AB4" s="1" t="s">
        <v>88</v>
      </c>
      <c r="AC4" s="1" t="s">
        <v>88</v>
      </c>
      <c r="AD4" s="1" t="s">
        <v>88</v>
      </c>
      <c r="AE4" s="1" t="s">
        <v>88</v>
      </c>
    </row>
    <row r="5" spans="1:31" x14ac:dyDescent="0.2">
      <c r="A5" s="2" t="s">
        <v>20</v>
      </c>
      <c r="B5" s="2">
        <v>0</v>
      </c>
      <c r="C5" s="2">
        <v>0.7157</v>
      </c>
      <c r="D5" s="4">
        <f t="shared" si="0"/>
        <v>3.578470381979624E-3</v>
      </c>
      <c r="E5" s="6">
        <v>624.90711977437422</v>
      </c>
      <c r="F5" s="3">
        <v>7.4267649886420413E-3</v>
      </c>
      <c r="G5" s="3">
        <v>1.6510185413616069E-4</v>
      </c>
      <c r="H5" s="6">
        <v>69.772471569857771</v>
      </c>
      <c r="I5" s="3">
        <v>0.21003019229042685</v>
      </c>
      <c r="J5" s="3">
        <v>7.8508302060495902E-2</v>
      </c>
    </row>
    <row r="6" spans="1:31" x14ac:dyDescent="0.2">
      <c r="A6" s="2" t="s">
        <v>21</v>
      </c>
      <c r="B6" s="2">
        <v>4</v>
      </c>
      <c r="C6" s="2">
        <v>0.7157</v>
      </c>
      <c r="D6" s="4">
        <f t="shared" si="0"/>
        <v>3.578470381979624E-3</v>
      </c>
      <c r="E6" s="6">
        <v>603.76684023179018</v>
      </c>
      <c r="F6" s="3">
        <v>8.82809951697398E-3</v>
      </c>
      <c r="G6" s="3">
        <v>9.2859461988594339E-4</v>
      </c>
      <c r="H6" s="6">
        <v>113.54663963313253</v>
      </c>
      <c r="I6" s="3">
        <v>0.60610774729538197</v>
      </c>
      <c r="J6" s="3">
        <v>0.23675680806089558</v>
      </c>
      <c r="K6" s="6">
        <f>(F6*E6-(AVERAGE($F$3:$F$5)*AVERAGE($E$3:$E$5)))*C6/(D6*B6)</f>
        <v>50.737869222351641</v>
      </c>
      <c r="L6" s="6">
        <f>(G6*E6-(AVERAGE($G$3:$G$5)*AVERAGE($E$3:$E$5)))*C6/(D6*B6)</f>
        <v>22.987680806779057</v>
      </c>
      <c r="M6" s="6">
        <f>(H6*I6-(AVERAGE($H$3:$H$5)*AVERAGE($I$3:$I$5)))*C6/(D6*B6*1000)</f>
        <v>2.9966132182697325</v>
      </c>
      <c r="N6" s="6">
        <f>(H6*J6-(AVERAGE($H$3:$H$5)*AVERAGE($J$3:$J$5)))*C6/(D6*B6*1000)</f>
        <v>1.1884169225519037</v>
      </c>
      <c r="O6" s="5">
        <f>M6/(2*N6)</f>
        <v>1.2607583927007133</v>
      </c>
      <c r="P6" s="6">
        <f>O6^2*L6</f>
        <v>36.53918816753724</v>
      </c>
      <c r="Q6" s="6">
        <f>2*O6*L6</f>
        <v>57.9638230117436</v>
      </c>
      <c r="R6" s="6">
        <f>L6</f>
        <v>22.987680806779057</v>
      </c>
      <c r="S6" s="6">
        <f>O6*T6</f>
        <v>-9.1101818852434349</v>
      </c>
      <c r="T6" s="6">
        <f>K6-Q6</f>
        <v>-7.2259537893919585</v>
      </c>
      <c r="U6" s="6">
        <f>2*P6+Q6</f>
        <v>131.04219934681808</v>
      </c>
      <c r="V6" s="11">
        <v>0</v>
      </c>
      <c r="W6" s="6">
        <f>O6*(2*N6+M6)</f>
        <v>6.7746184828811922</v>
      </c>
      <c r="X6" s="6">
        <f>U6+V6+W6</f>
        <v>137.81681782969926</v>
      </c>
      <c r="Y6" s="6">
        <f>U6/(U6+V6+W6)</f>
        <v>0.95084331078335738</v>
      </c>
      <c r="Z6" s="6">
        <f>V6/(U6+V6+W6)</f>
        <v>0</v>
      </c>
      <c r="AA6" s="5">
        <f>W6/(U6+V6+W6)</f>
        <v>4.9156689216642721E-2</v>
      </c>
      <c r="AE6" s="5"/>
    </row>
    <row r="7" spans="1:31" x14ac:dyDescent="0.2">
      <c r="A7" s="2" t="s">
        <v>22</v>
      </c>
      <c r="B7" s="2">
        <v>4</v>
      </c>
      <c r="C7" s="2">
        <v>0.7157</v>
      </c>
      <c r="D7" s="4">
        <f t="shared" si="0"/>
        <v>3.578470381979624E-3</v>
      </c>
      <c r="E7" s="6">
        <v>578.50322660984773</v>
      </c>
      <c r="F7" s="3">
        <v>9.1559724035876252E-3</v>
      </c>
      <c r="G7" s="3">
        <v>1.3193534330028008E-3</v>
      </c>
      <c r="H7" s="6">
        <v>101.99033833014245</v>
      </c>
      <c r="I7" s="3">
        <v>0.31396042887570741</v>
      </c>
      <c r="J7" s="3">
        <v>0.17100058240236396</v>
      </c>
      <c r="K7" s="6">
        <f t="shared" ref="K7:K13" si="1">(F7*E7-(AVERAGE($F$3:$F$5)*AVERAGE($E$3:$E$5)))*C7/(D7*B7)</f>
        <v>49.070146799733187</v>
      </c>
      <c r="L7" s="6">
        <f t="shared" ref="L7:L12" si="2">(G7*E7-(AVERAGE($G$3:$G$5)*AVERAGE($E$3:$E$5)))*C7/(D7*B7)</f>
        <v>33.117543574494164</v>
      </c>
      <c r="M7" s="6">
        <f t="shared" ref="M7:M12" si="3">(H7*I7-(AVERAGE($H$3:$H$5)*AVERAGE($I$3:$I$5)))*C7/(D7*B7*1000)</f>
        <v>1.1565696089737916</v>
      </c>
      <c r="N7" s="6">
        <f t="shared" ref="N7:N12" si="4">(H7*J7-(AVERAGE($H$3:$H$5)*AVERAGE($J$3:$J$5)))*C7/(D7*B7*1000)</f>
        <v>0.71628637930326577</v>
      </c>
      <c r="O7" s="5">
        <f t="shared" ref="O7:O56" si="5">M7/(2*N7)</f>
        <v>0.80733742982715295</v>
      </c>
      <c r="P7" s="6">
        <f t="shared" ref="P7:P56" si="6">O7^2*L7</f>
        <v>21.585807109137015</v>
      </c>
      <c r="Q7" s="6">
        <f t="shared" ref="Q7:Q56" si="7">2*O7*L7</f>
        <v>53.474065023241721</v>
      </c>
      <c r="R7" s="6">
        <f t="shared" ref="R7:R56" si="8">L7</f>
        <v>33.117543574494164</v>
      </c>
      <c r="S7" s="6">
        <f t="shared" ref="S7:S56" si="9">O7*T7</f>
        <v>-3.5554480197363407</v>
      </c>
      <c r="T7" s="6">
        <f t="shared" ref="T7:T56" si="10">K7-Q7</f>
        <v>-4.4039182235085335</v>
      </c>
      <c r="U7" s="6">
        <f t="shared" ref="U7:U56" si="11">2*P7+Q7</f>
        <v>96.645679241515751</v>
      </c>
      <c r="V7" s="11">
        <v>0</v>
      </c>
      <c r="W7" s="6">
        <f t="shared" ref="W7:W56" si="12">O7*(2*N7+M7)</f>
        <v>2.090311544498888</v>
      </c>
      <c r="X7" s="6">
        <f t="shared" ref="X7:X13" si="13">U7+V7+W7</f>
        <v>98.735990786014639</v>
      </c>
      <c r="Y7" s="6">
        <f t="shared" ref="Y7:Y55" si="14">U7/(U7+V7+W7)</f>
        <v>0.97882928476375841</v>
      </c>
      <c r="Z7" s="6">
        <f t="shared" ref="Z7:Z55" si="15">V7/(U7+V7+W7)</f>
        <v>0</v>
      </c>
      <c r="AA7" s="5">
        <f t="shared" ref="AA7:AA55" si="16">W7/(U7+V7+W7)</f>
        <v>2.1170715236241575E-2</v>
      </c>
      <c r="AE7" s="5"/>
    </row>
    <row r="8" spans="1:31" x14ac:dyDescent="0.2">
      <c r="A8" s="2" t="s">
        <v>23</v>
      </c>
      <c r="B8" s="2">
        <v>4</v>
      </c>
      <c r="C8" s="2">
        <v>0.7157</v>
      </c>
      <c r="D8" s="4">
        <f t="shared" si="0"/>
        <v>3.578470381979624E-3</v>
      </c>
      <c r="E8" s="6">
        <v>554.22097486407347</v>
      </c>
      <c r="F8" s="3">
        <v>7.8895302038646063E-3</v>
      </c>
      <c r="G8" s="3">
        <v>3.9118784775394547E-4</v>
      </c>
      <c r="H8" s="6">
        <v>74.329893980476257</v>
      </c>
      <c r="I8" s="3">
        <v>0.32437386155168774</v>
      </c>
      <c r="J8" s="3">
        <v>0.13424792342338168</v>
      </c>
      <c r="K8" s="6">
        <f t="shared" si="1"/>
        <v>2.8589414543558531</v>
      </c>
      <c r="L8" s="6">
        <f t="shared" si="2"/>
        <v>5.7950320507262232</v>
      </c>
      <c r="M8" s="6">
        <f t="shared" si="3"/>
        <v>0.7610535542159339</v>
      </c>
      <c r="N8" s="6">
        <f t="shared" si="4"/>
        <v>0.34319462441496446</v>
      </c>
      <c r="O8" s="5">
        <f t="shared" si="5"/>
        <v>1.1087783724953202</v>
      </c>
      <c r="P8" s="6">
        <f t="shared" si="6"/>
        <v>7.1243514354466084</v>
      </c>
      <c r="Q8" s="6">
        <f t="shared" si="7"/>
        <v>12.850812411524879</v>
      </c>
      <c r="R8" s="6">
        <f t="shared" si="8"/>
        <v>5.7950320507262232</v>
      </c>
      <c r="S8" s="6">
        <f t="shared" si="9"/>
        <v>-11.07877041807313</v>
      </c>
      <c r="T8" s="6">
        <f t="shared" si="10"/>
        <v>-9.9918709571690272</v>
      </c>
      <c r="U8" s="6">
        <f t="shared" si="11"/>
        <v>27.099515282418096</v>
      </c>
      <c r="V8" s="11">
        <v>0</v>
      </c>
      <c r="W8" s="6">
        <f t="shared" si="12"/>
        <v>1.6048932754412562</v>
      </c>
      <c r="X8" s="6">
        <f t="shared" si="13"/>
        <v>28.704408557859352</v>
      </c>
      <c r="Y8" s="6">
        <f t="shared" si="14"/>
        <v>0.94408896207680848</v>
      </c>
      <c r="Z8" s="6">
        <f t="shared" si="15"/>
        <v>0</v>
      </c>
      <c r="AA8" s="5">
        <f t="shared" si="16"/>
        <v>5.5911037923191471E-2</v>
      </c>
      <c r="AE8" s="5"/>
    </row>
    <row r="9" spans="1:31" x14ac:dyDescent="0.2">
      <c r="A9" s="2" t="s">
        <v>24</v>
      </c>
      <c r="B9" s="2">
        <v>4</v>
      </c>
      <c r="C9" s="2">
        <v>0.7157</v>
      </c>
      <c r="D9" s="4">
        <f t="shared" si="0"/>
        <v>3.578470381979624E-3</v>
      </c>
      <c r="E9" s="6">
        <v>557.94140871845241</v>
      </c>
      <c r="F9" s="3">
        <v>8.029915372646591E-3</v>
      </c>
      <c r="G9" s="3">
        <v>6.8338391113879589E-4</v>
      </c>
      <c r="H9" s="6">
        <v>46.451312972128086</v>
      </c>
      <c r="I9" s="3">
        <v>0.34506321736579582</v>
      </c>
      <c r="J9" s="3">
        <v>0.17828944782270778</v>
      </c>
      <c r="K9" s="6">
        <f t="shared" si="1"/>
        <v>8.2429447208591977</v>
      </c>
      <c r="L9" s="6">
        <f t="shared" si="2"/>
        <v>14.019283707000605</v>
      </c>
      <c r="M9" s="6">
        <f t="shared" si="3"/>
        <v>0.35694844786887459</v>
      </c>
      <c r="N9" s="6">
        <f t="shared" si="4"/>
        <v>0.25835117345881609</v>
      </c>
      <c r="O9" s="5">
        <f t="shared" si="5"/>
        <v>0.69082025657177037</v>
      </c>
      <c r="P9" s="6">
        <f t="shared" si="6"/>
        <v>6.690459590606487</v>
      </c>
      <c r="Q9" s="6">
        <f t="shared" si="7"/>
        <v>19.369610334845195</v>
      </c>
      <c r="R9" s="6">
        <f t="shared" si="8"/>
        <v>14.019283707000605</v>
      </c>
      <c r="S9" s="6">
        <f t="shared" si="9"/>
        <v>-7.6865259942421016</v>
      </c>
      <c r="T9" s="6">
        <f t="shared" si="10"/>
        <v>-11.126665613985997</v>
      </c>
      <c r="U9" s="6">
        <f t="shared" si="11"/>
        <v>32.750529516058165</v>
      </c>
      <c r="V9" s="11">
        <v>0</v>
      </c>
      <c r="W9" s="6">
        <f t="shared" si="12"/>
        <v>0.60353566620854571</v>
      </c>
      <c r="X9" s="6">
        <f t="shared" si="13"/>
        <v>33.354065182266709</v>
      </c>
      <c r="Y9" s="6">
        <f t="shared" si="14"/>
        <v>0.98190518418338335</v>
      </c>
      <c r="Z9" s="6">
        <f t="shared" si="15"/>
        <v>0</v>
      </c>
      <c r="AA9" s="5">
        <f t="shared" si="16"/>
        <v>1.809481581661675E-2</v>
      </c>
      <c r="AE9" s="5"/>
    </row>
    <row r="10" spans="1:31" x14ac:dyDescent="0.2">
      <c r="A10" s="2" t="s">
        <v>25</v>
      </c>
      <c r="B10" s="2">
        <v>6</v>
      </c>
      <c r="C10" s="2">
        <v>0.7157</v>
      </c>
      <c r="D10" s="4">
        <f t="shared" si="0"/>
        <v>3.578470381979624E-3</v>
      </c>
      <c r="E10" s="6">
        <v>593.15895775666274</v>
      </c>
      <c r="F10" s="3">
        <v>8.5401060901372557E-3</v>
      </c>
      <c r="G10" s="3">
        <v>7.6196341622286482E-4</v>
      </c>
      <c r="H10" s="6">
        <v>67.422586094153331</v>
      </c>
      <c r="I10" s="3">
        <v>0.40964309587853714</v>
      </c>
      <c r="J10" s="3">
        <v>0.1892191568204043</v>
      </c>
      <c r="K10" s="6">
        <f t="shared" si="1"/>
        <v>25.00939574718867</v>
      </c>
      <c r="L10" s="6">
        <f t="shared" si="2"/>
        <v>11.702116761845943</v>
      </c>
      <c r="M10" s="6">
        <f t="shared" si="3"/>
        <v>0.62432074279894356</v>
      </c>
      <c r="N10" s="6">
        <f t="shared" si="4"/>
        <v>0.32143088218802085</v>
      </c>
      <c r="O10" s="5">
        <f t="shared" si="5"/>
        <v>0.97115861822161109</v>
      </c>
      <c r="P10" s="6">
        <f t="shared" si="6"/>
        <v>11.036840444378416</v>
      </c>
      <c r="Q10" s="6">
        <f t="shared" si="7"/>
        <v>22.72922308940452</v>
      </c>
      <c r="R10" s="6">
        <f t="shared" si="8"/>
        <v>11.702116761845943</v>
      </c>
      <c r="S10" s="6">
        <f t="shared" si="9"/>
        <v>2.2144093276403529</v>
      </c>
      <c r="T10" s="6">
        <f t="shared" si="10"/>
        <v>2.2801726577841492</v>
      </c>
      <c r="U10" s="6">
        <f t="shared" si="11"/>
        <v>44.802903978161353</v>
      </c>
      <c r="V10" s="6">
        <f t="shared" ref="V10:V55" si="17">2*S10</f>
        <v>4.4288186552807058</v>
      </c>
      <c r="W10" s="6">
        <f t="shared" si="12"/>
        <v>1.2306352127026554</v>
      </c>
      <c r="X10" s="6">
        <f t="shared" si="13"/>
        <v>50.46235784614472</v>
      </c>
      <c r="Y10" s="6">
        <f t="shared" si="14"/>
        <v>0.88784800969390809</v>
      </c>
      <c r="Z10" s="6">
        <f t="shared" si="15"/>
        <v>8.7764798243946174E-2</v>
      </c>
      <c r="AA10" s="5">
        <f t="shared" si="16"/>
        <v>2.4387192062145683E-2</v>
      </c>
      <c r="AE10" s="5"/>
    </row>
    <row r="11" spans="1:31" x14ac:dyDescent="0.2">
      <c r="A11" s="2" t="s">
        <v>26</v>
      </c>
      <c r="B11" s="2">
        <v>6</v>
      </c>
      <c r="C11" s="2">
        <v>0.7157</v>
      </c>
      <c r="D11" s="4">
        <f t="shared" si="0"/>
        <v>3.578470381979624E-3</v>
      </c>
      <c r="E11" s="6">
        <v>624.44234347615793</v>
      </c>
      <c r="F11" s="3">
        <v>9.4576384449174614E-3</v>
      </c>
      <c r="G11" s="3">
        <v>1.3941462098221039E-3</v>
      </c>
      <c r="H11" s="6">
        <v>61.452317858382223</v>
      </c>
      <c r="I11" s="3">
        <v>0.4616356150620422</v>
      </c>
      <c r="J11" s="3">
        <v>0.20944125572347022</v>
      </c>
      <c r="K11" s="6">
        <f t="shared" si="1"/>
        <v>53.013277083645747</v>
      </c>
      <c r="L11" s="6">
        <f t="shared" si="2"/>
        <v>25.655515602496912</v>
      </c>
      <c r="M11" s="6">
        <f t="shared" si="3"/>
        <v>0.64930033793971498</v>
      </c>
      <c r="N11" s="6">
        <f t="shared" si="4"/>
        <v>0.32519777096495739</v>
      </c>
      <c r="O11" s="5">
        <f t="shared" si="5"/>
        <v>0.99831609548406497</v>
      </c>
      <c r="P11" s="6">
        <f t="shared" si="6"/>
        <v>25.569185472431062</v>
      </c>
      <c r="Q11" s="6">
        <f t="shared" si="7"/>
        <v>51.224628327830452</v>
      </c>
      <c r="R11" s="6">
        <f t="shared" si="8"/>
        <v>25.655515602496912</v>
      </c>
      <c r="S11" s="6">
        <f t="shared" si="9"/>
        <v>1.785636842097956</v>
      </c>
      <c r="T11" s="6">
        <f t="shared" si="10"/>
        <v>1.788648755815295</v>
      </c>
      <c r="U11" s="6">
        <f t="shared" si="11"/>
        <v>102.36299927269258</v>
      </c>
      <c r="V11" s="6">
        <f t="shared" si="17"/>
        <v>3.5712736841959121</v>
      </c>
      <c r="W11" s="6">
        <f t="shared" si="12"/>
        <v>1.2975073161081752</v>
      </c>
      <c r="X11" s="6">
        <f t="shared" si="13"/>
        <v>107.23178027299667</v>
      </c>
      <c r="Y11" s="6">
        <f t="shared" si="14"/>
        <v>0.95459572723768193</v>
      </c>
      <c r="Z11" s="6">
        <f t="shared" si="15"/>
        <v>3.3304246885615098E-2</v>
      </c>
      <c r="AA11" s="5">
        <f t="shared" si="16"/>
        <v>1.2100025876702862E-2</v>
      </c>
      <c r="AE11" s="5"/>
    </row>
    <row r="12" spans="1:31" x14ac:dyDescent="0.2">
      <c r="A12" s="2" t="s">
        <v>27</v>
      </c>
      <c r="B12" s="2">
        <v>6</v>
      </c>
      <c r="C12" s="2">
        <v>0.7157</v>
      </c>
      <c r="D12" s="4">
        <f t="shared" si="0"/>
        <v>3.578470381979624E-3</v>
      </c>
      <c r="E12" s="6">
        <v>552.2100327788728</v>
      </c>
      <c r="F12" s="3">
        <v>8.3858905292599917E-3</v>
      </c>
      <c r="G12" s="3">
        <v>5.7476806186050817E-4</v>
      </c>
      <c r="H12" s="6">
        <v>82.599219732647242</v>
      </c>
      <c r="I12" s="3">
        <v>0.43637952592477419</v>
      </c>
      <c r="J12" s="3">
        <v>0.16909972077807545</v>
      </c>
      <c r="K12" s="6">
        <f t="shared" si="1"/>
        <v>10.513690987384233</v>
      </c>
      <c r="L12" s="6">
        <f t="shared" si="2"/>
        <v>7.2163217832813853</v>
      </c>
      <c r="M12" s="6">
        <f t="shared" si="3"/>
        <v>0.90517011559121929</v>
      </c>
      <c r="N12" s="6">
        <f t="shared" si="4"/>
        <v>0.36175988604041481</v>
      </c>
      <c r="O12" s="5">
        <f t="shared" si="5"/>
        <v>1.2510647953517104</v>
      </c>
      <c r="P12" s="6">
        <f t="shared" si="6"/>
        <v>11.294720732892653</v>
      </c>
      <c r="Q12" s="6">
        <f t="shared" si="7"/>
        <v>18.056172269986032</v>
      </c>
      <c r="R12" s="6">
        <f t="shared" si="8"/>
        <v>7.2163217832813853</v>
      </c>
      <c r="S12" s="6">
        <f t="shared" si="9"/>
        <v>-9.4361328022623248</v>
      </c>
      <c r="T12" s="6">
        <f t="shared" si="10"/>
        <v>-7.5424812826017984</v>
      </c>
      <c r="U12" s="6">
        <f t="shared" si="11"/>
        <v>40.645613735771335</v>
      </c>
      <c r="V12" s="11">
        <v>0</v>
      </c>
      <c r="W12" s="6">
        <f t="shared" si="12"/>
        <v>2.0375965810118322</v>
      </c>
      <c r="X12" s="6">
        <f t="shared" si="13"/>
        <v>42.683210316783168</v>
      </c>
      <c r="Y12" s="6">
        <f t="shared" si="14"/>
        <v>0.95226234001872523</v>
      </c>
      <c r="Z12" s="6">
        <f t="shared" si="15"/>
        <v>0</v>
      </c>
      <c r="AA12" s="5">
        <f t="shared" si="16"/>
        <v>4.7737659981274723E-2</v>
      </c>
      <c r="AE12" s="5"/>
    </row>
    <row r="13" spans="1:31" x14ac:dyDescent="0.2">
      <c r="A13" s="2" t="s">
        <v>28</v>
      </c>
      <c r="B13" s="2">
        <v>6</v>
      </c>
      <c r="C13" s="2">
        <v>0.7157</v>
      </c>
      <c r="D13" s="4">
        <f t="shared" si="0"/>
        <v>3.578470381979624E-3</v>
      </c>
      <c r="E13" s="6">
        <v>584.49755108799263</v>
      </c>
      <c r="F13" s="3">
        <v>8.5425584420430398E-3</v>
      </c>
      <c r="G13" s="3">
        <v>6.3182484688774961E-4</v>
      </c>
      <c r="H13" s="6">
        <v>102.14564598357298</v>
      </c>
      <c r="I13" s="3">
        <v>0.51020467297160443</v>
      </c>
      <c r="J13" s="3">
        <v>0.21753044599517957</v>
      </c>
      <c r="K13" s="6">
        <f t="shared" si="1"/>
        <v>22.591511129953851</v>
      </c>
      <c r="L13" s="6">
        <f>(G13*E13-(AVERAGE($G$3:$G$5)*AVERAGE($E$3:$E$5)))*C13/(D13*B13)</f>
        <v>8.946582285462183</v>
      </c>
      <c r="M13" s="6">
        <f>(H13*I13-(AVERAGE($H$3:$H$5)*AVERAGE($I$3:$I$5)))*C13/(D13*B13*1000)</f>
        <v>1.4408604678447929</v>
      </c>
      <c r="N13" s="6">
        <f>(H13*J13-(AVERAGE($H$3:$H$5)*AVERAGE($J$3:$J$5)))*C13/(D13*B13*1000)</f>
        <v>0.63683826056984949</v>
      </c>
      <c r="O13" s="5">
        <f t="shared" si="5"/>
        <v>1.131260915884275</v>
      </c>
      <c r="P13" s="6">
        <f t="shared" si="6"/>
        <v>11.449399950790161</v>
      </c>
      <c r="Q13" s="6">
        <f t="shared" si="7"/>
        <v>20.24183774057196</v>
      </c>
      <c r="R13" s="6">
        <f t="shared" si="8"/>
        <v>8.946582285462183</v>
      </c>
      <c r="S13" s="6">
        <f t="shared" si="9"/>
        <v>2.6580936705010672</v>
      </c>
      <c r="T13" s="6">
        <f t="shared" si="10"/>
        <v>2.3496733893818913</v>
      </c>
      <c r="U13" s="6">
        <f t="shared" si="11"/>
        <v>43.140637642152285</v>
      </c>
      <c r="V13" s="6">
        <f t="shared" si="17"/>
        <v>5.3161873410021343</v>
      </c>
      <c r="W13" s="6">
        <f t="shared" si="12"/>
        <v>3.0708496003603387</v>
      </c>
      <c r="X13" s="6">
        <f t="shared" si="13"/>
        <v>51.527674583514759</v>
      </c>
      <c r="Y13" s="6">
        <f t="shared" si="14"/>
        <v>0.83723238028587965</v>
      </c>
      <c r="Z13" s="6">
        <f t="shared" si="15"/>
        <v>0.10317149733558792</v>
      </c>
      <c r="AA13" s="5">
        <f t="shared" si="16"/>
        <v>5.9596122378532394E-2</v>
      </c>
      <c r="AE13" s="5"/>
    </row>
    <row r="14" spans="1:31" s="1" customFormat="1" x14ac:dyDescent="0.2">
      <c r="D14" s="7"/>
      <c r="E14" s="8"/>
      <c r="F14" s="9"/>
      <c r="G14" s="9"/>
      <c r="H14" s="8"/>
      <c r="I14" s="9"/>
      <c r="J14" s="9"/>
      <c r="K14" s="8"/>
      <c r="L14" s="8"/>
      <c r="M14" s="8"/>
      <c r="N14" s="8"/>
      <c r="O14" s="10"/>
      <c r="P14" s="8"/>
      <c r="Q14" s="8"/>
      <c r="R14" s="8"/>
      <c r="S14" s="8"/>
      <c r="T14" s="8" t="s">
        <v>73</v>
      </c>
      <c r="U14" s="8">
        <f>AVERAGE(U6:U13)</f>
        <v>64.811259751948455</v>
      </c>
      <c r="V14" s="8">
        <f t="shared" ref="V14:W14" si="18">AVERAGE(V6:V13)</f>
        <v>1.664534960059844</v>
      </c>
      <c r="W14" s="8">
        <f t="shared" si="18"/>
        <v>2.3387434599016106</v>
      </c>
      <c r="X14" s="8">
        <f t="shared" ref="X14" si="19">AVERAGE(X6:X13)</f>
        <v>68.814538171909916</v>
      </c>
      <c r="Y14" s="8">
        <f t="shared" ref="Y14" si="20">AVERAGE(Y6:Y13)</f>
        <v>0.93595064988043775</v>
      </c>
      <c r="Z14" s="8">
        <f>AVERAGE(Z6:Z13)</f>
        <v>2.8030067808143648E-2</v>
      </c>
      <c r="AA14" s="10">
        <f t="shared" ref="AA14" si="21">AVERAGE(AA6:AA13)</f>
        <v>3.6019282311418523E-2</v>
      </c>
      <c r="AB14" s="7">
        <f t="shared" ref="AB14:AD15" si="22">U14/3200</f>
        <v>2.0253518672483893E-2</v>
      </c>
      <c r="AC14" s="7">
        <f t="shared" si="22"/>
        <v>5.2016717501870123E-4</v>
      </c>
      <c r="AD14" s="7">
        <f t="shared" si="22"/>
        <v>7.3085733121925332E-4</v>
      </c>
      <c r="AE14" s="7">
        <f>X14/3200</f>
        <v>2.1504543178721847E-2</v>
      </c>
    </row>
    <row r="15" spans="1:31" s="1" customFormat="1" x14ac:dyDescent="0.2">
      <c r="D15" s="7"/>
      <c r="E15" s="8"/>
      <c r="F15" s="9"/>
      <c r="G15" s="9"/>
      <c r="H15" s="8"/>
      <c r="I15" s="9"/>
      <c r="J15" s="9"/>
      <c r="K15" s="8"/>
      <c r="L15" s="8"/>
      <c r="M15" s="8"/>
      <c r="N15" s="8"/>
      <c r="O15" s="10"/>
      <c r="P15" s="8"/>
      <c r="Q15" s="8"/>
      <c r="R15" s="8"/>
      <c r="S15" s="8"/>
      <c r="T15" s="8" t="s">
        <v>74</v>
      </c>
      <c r="U15" s="8">
        <f>STDEV(U6:U13)</f>
        <v>39.122692483043863</v>
      </c>
      <c r="V15" s="8">
        <f t="shared" ref="V15:AA15" si="23">STDEV(V6:V13)</f>
        <v>2.3441375260524948</v>
      </c>
      <c r="W15" s="8">
        <f t="shared" si="23"/>
        <v>1.9356406563950055</v>
      </c>
      <c r="X15" s="8">
        <f t="shared" si="23"/>
        <v>40.208820156019542</v>
      </c>
      <c r="Y15" s="8">
        <f t="shared" si="23"/>
        <v>4.9151792462761128E-2</v>
      </c>
      <c r="Z15" s="8">
        <f t="shared" si="23"/>
        <v>4.3376611412229253E-2</v>
      </c>
      <c r="AA15" s="10">
        <f t="shared" si="23"/>
        <v>1.8938486738241327E-2</v>
      </c>
      <c r="AB15" s="7">
        <f t="shared" si="22"/>
        <v>1.2225841400951207E-2</v>
      </c>
      <c r="AC15" s="7">
        <f t="shared" si="22"/>
        <v>7.3254297689140466E-4</v>
      </c>
      <c r="AD15" s="7">
        <f t="shared" si="22"/>
        <v>6.0488770512343926E-4</v>
      </c>
      <c r="AE15" s="7">
        <f>X15/3200</f>
        <v>1.2565256298756107E-2</v>
      </c>
    </row>
    <row r="16" spans="1:31" s="1" customFormat="1" x14ac:dyDescent="0.2">
      <c r="D16" s="7"/>
      <c r="E16" s="8"/>
      <c r="F16" s="9"/>
      <c r="G16" s="9"/>
      <c r="H16" s="8"/>
      <c r="I16" s="9"/>
      <c r="J16" s="9"/>
      <c r="K16" s="8"/>
      <c r="L16" s="8"/>
      <c r="M16" s="8"/>
      <c r="N16" s="8"/>
      <c r="O16" s="10"/>
      <c r="P16" s="8"/>
      <c r="Q16" s="8"/>
      <c r="R16" s="8"/>
      <c r="S16" s="8"/>
      <c r="T16" s="8" t="s">
        <v>75</v>
      </c>
      <c r="U16" s="8">
        <f>AVERAGE(U6:U9)</f>
        <v>71.88448084670253</v>
      </c>
      <c r="V16" s="8">
        <f t="shared" ref="V16:AA16" si="24">AVERAGE(V6:V9)</f>
        <v>0</v>
      </c>
      <c r="W16" s="8">
        <f t="shared" si="24"/>
        <v>2.7683397422574703</v>
      </c>
      <c r="X16" s="8">
        <f t="shared" si="24"/>
        <v>74.652820588959997</v>
      </c>
      <c r="Y16" s="8">
        <f t="shared" si="24"/>
        <v>0.96391668545182685</v>
      </c>
      <c r="Z16" s="8">
        <f t="shared" si="24"/>
        <v>0</v>
      </c>
      <c r="AA16" s="10">
        <f t="shared" si="24"/>
        <v>3.608331454817313E-2</v>
      </c>
      <c r="AB16" s="7"/>
      <c r="AC16" s="7"/>
      <c r="AD16" s="7"/>
      <c r="AE16" s="7"/>
    </row>
    <row r="17" spans="1:31" s="1" customFormat="1" x14ac:dyDescent="0.2">
      <c r="D17" s="7"/>
      <c r="E17" s="8"/>
      <c r="F17" s="9"/>
      <c r="G17" s="9"/>
      <c r="H17" s="8"/>
      <c r="I17" s="9"/>
      <c r="J17" s="9"/>
      <c r="M17" s="8"/>
      <c r="N17" s="8"/>
      <c r="O17" s="10"/>
      <c r="P17" s="8"/>
      <c r="Q17" s="8"/>
      <c r="R17" s="8"/>
      <c r="S17" s="8"/>
      <c r="T17" s="8" t="s">
        <v>76</v>
      </c>
      <c r="U17" s="8">
        <f>STDEV(U6:U9)</f>
        <v>50.497233889358064</v>
      </c>
      <c r="V17" s="8">
        <f t="shared" ref="V17:AA17" si="25">STDEV(V6:V9)</f>
        <v>0</v>
      </c>
      <c r="W17" s="8">
        <f t="shared" si="25"/>
        <v>2.7416525401877925</v>
      </c>
      <c r="X17" s="8">
        <f t="shared" si="25"/>
        <v>52.872593406193893</v>
      </c>
      <c r="Y17" s="8">
        <f t="shared" si="25"/>
        <v>1.9235587195888255E-2</v>
      </c>
      <c r="Z17" s="8">
        <f t="shared" si="25"/>
        <v>0</v>
      </c>
      <c r="AA17" s="10">
        <f t="shared" si="25"/>
        <v>1.9235587195888235E-2</v>
      </c>
      <c r="AB17" s="7"/>
      <c r="AC17" s="7"/>
      <c r="AD17" s="7"/>
      <c r="AE17" s="7"/>
    </row>
    <row r="18" spans="1:31" s="1" customFormat="1" x14ac:dyDescent="0.2">
      <c r="A18" s="2" t="s">
        <v>29</v>
      </c>
      <c r="B18" s="2">
        <v>0</v>
      </c>
      <c r="C18" s="2">
        <v>0.7157</v>
      </c>
      <c r="D18" s="4">
        <f t="shared" si="0"/>
        <v>3.578470381979624E-3</v>
      </c>
      <c r="E18" s="6">
        <v>609.50835270373045</v>
      </c>
      <c r="F18" s="3">
        <v>1.1778490534975624E-2</v>
      </c>
      <c r="G18" s="3">
        <v>3.6067913232919004E-3</v>
      </c>
      <c r="H18" s="6">
        <v>18.390692423602214</v>
      </c>
      <c r="I18" s="3">
        <v>0.1422966220309923</v>
      </c>
      <c r="J18" s="3">
        <v>6.7814728868439311E-2</v>
      </c>
      <c r="M18" s="8"/>
      <c r="N18" s="8"/>
      <c r="O18" s="10"/>
      <c r="P18" s="8"/>
      <c r="Q18" s="8"/>
      <c r="R18" s="8"/>
      <c r="S18" s="8"/>
      <c r="T18" s="8" t="s">
        <v>77</v>
      </c>
      <c r="U18" s="8">
        <f>AVERAGE(U10:U13)</f>
        <v>57.738038657194394</v>
      </c>
      <c r="V18" s="8">
        <f t="shared" ref="V18:AA18" si="26">AVERAGE(V10:V13)</f>
        <v>3.3290699201196881</v>
      </c>
      <c r="W18" s="8">
        <f t="shared" si="26"/>
        <v>1.9091471775457505</v>
      </c>
      <c r="X18" s="8">
        <f t="shared" si="26"/>
        <v>62.976255754859835</v>
      </c>
      <c r="Y18" s="8">
        <f t="shared" si="26"/>
        <v>0.90798461430904864</v>
      </c>
      <c r="Z18" s="8">
        <f t="shared" si="26"/>
        <v>5.6060135616287296E-2</v>
      </c>
      <c r="AA18" s="10">
        <f t="shared" si="26"/>
        <v>3.5955250074663915E-2</v>
      </c>
      <c r="AB18" s="7"/>
      <c r="AC18" s="7"/>
      <c r="AD18" s="7"/>
      <c r="AE18" s="7"/>
    </row>
    <row r="19" spans="1:31" s="1" customFormat="1" x14ac:dyDescent="0.2">
      <c r="A19" s="2" t="s">
        <v>30</v>
      </c>
      <c r="B19" s="2">
        <v>0</v>
      </c>
      <c r="C19" s="2">
        <v>0.89459999999999995</v>
      </c>
      <c r="D19" s="4">
        <f t="shared" si="0"/>
        <v>3.578470381979624E-3</v>
      </c>
      <c r="E19" s="6">
        <v>546.25383116523233</v>
      </c>
      <c r="F19" s="3">
        <v>7.5929998097704846E-3</v>
      </c>
      <c r="G19" s="3">
        <v>2.9834544727656338E-4</v>
      </c>
      <c r="H19" s="6">
        <v>11.174811006403056</v>
      </c>
      <c r="I19" s="3">
        <v>0.16771362070694673</v>
      </c>
      <c r="J19" s="3">
        <v>7.5947460722288543E-2</v>
      </c>
      <c r="M19" s="8"/>
      <c r="N19" s="8"/>
      <c r="O19" s="10"/>
      <c r="P19" s="8"/>
      <c r="Q19" s="8"/>
      <c r="R19" s="8"/>
      <c r="S19" s="8"/>
      <c r="T19" s="8" t="s">
        <v>78</v>
      </c>
      <c r="U19" s="8">
        <f>STDEV(U10:U13)</f>
        <v>29.798992853159309</v>
      </c>
      <c r="V19" s="8">
        <f t="shared" ref="V19:Z19" si="27">STDEV(V10:V13)</f>
        <v>2.3309119904192843</v>
      </c>
      <c r="W19" s="8">
        <f t="shared" si="27"/>
        <v>0.85645267916732926</v>
      </c>
      <c r="X19" s="8">
        <f t="shared" si="27"/>
        <v>29.765902165810868</v>
      </c>
      <c r="Y19" s="8">
        <f t="shared" si="27"/>
        <v>5.6404711112822629E-2</v>
      </c>
      <c r="Z19" s="8">
        <f t="shared" si="27"/>
        <v>4.7906976919232798E-2</v>
      </c>
      <c r="AA19" s="10">
        <f>STDEV(AA10:AA13)</f>
        <v>2.1607157102923019E-2</v>
      </c>
      <c r="AB19" s="7"/>
      <c r="AC19" s="7"/>
      <c r="AD19" s="7"/>
      <c r="AE19" s="7"/>
    </row>
    <row r="20" spans="1:31" x14ac:dyDescent="0.2">
      <c r="A20" s="2" t="s">
        <v>31</v>
      </c>
      <c r="B20" s="2">
        <v>0</v>
      </c>
      <c r="C20" s="2">
        <v>0.89459999999999995</v>
      </c>
      <c r="D20" s="4">
        <f t="shared" si="0"/>
        <v>3.578470381979624E-3</v>
      </c>
      <c r="E20" s="6">
        <v>603.15942077294267</v>
      </c>
      <c r="F20" s="3">
        <v>7.8912017832444056E-3</v>
      </c>
      <c r="G20" s="3">
        <v>4.7058834243120267E-4</v>
      </c>
      <c r="H20" s="6">
        <v>18.86411144467564</v>
      </c>
      <c r="I20" s="3">
        <v>0.4857553058397005</v>
      </c>
      <c r="J20" s="3">
        <v>0.27023260010406924</v>
      </c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Y20" s="6"/>
      <c r="Z20" s="6"/>
      <c r="AA20" s="5"/>
      <c r="AB20" s="4"/>
      <c r="AC20" s="4"/>
      <c r="AD20" s="4"/>
      <c r="AE20" s="4"/>
    </row>
    <row r="21" spans="1:31" x14ac:dyDescent="0.2">
      <c r="A21" s="2" t="s">
        <v>32</v>
      </c>
      <c r="B21" s="2">
        <v>3</v>
      </c>
      <c r="C21" s="2">
        <v>0.89459999999999995</v>
      </c>
      <c r="D21" s="4">
        <f t="shared" si="0"/>
        <v>3.578470381979624E-3</v>
      </c>
      <c r="E21" s="6">
        <v>544.5815285284516</v>
      </c>
      <c r="F21" s="3">
        <v>8.0081167201899641E-3</v>
      </c>
      <c r="G21" s="3">
        <v>4.7208042543522952E-4</v>
      </c>
      <c r="H21" s="6">
        <v>26.835396647957108</v>
      </c>
      <c r="I21" s="3">
        <v>0.12225874240280091</v>
      </c>
      <c r="J21" s="3">
        <v>4.944508531545299E-2</v>
      </c>
      <c r="K21" s="6">
        <f>(F21*E21-($F$19*$E$19))*C21/(D21*B21)</f>
        <v>17.780250953985952</v>
      </c>
      <c r="L21" s="6">
        <f>(G21*E21-($G$19*$E$19))*C21/(D21*B21)</f>
        <v>7.8426737530867756</v>
      </c>
      <c r="M21" s="6">
        <f>(H21*I21-(AVERAGE($H$19)*AVERAGE($I$19)))*C21/(D21*B21*1000)</f>
        <v>0.11722218036335406</v>
      </c>
      <c r="N21" s="6">
        <f t="shared" ref="N21:N28" si="28">(H21*J21-(AVERAGE($H$19)*AVERAGE($J$19)))*C21/(D21*B21*1000)</f>
        <v>3.9847545984806158E-2</v>
      </c>
      <c r="O21" s="5">
        <f t="shared" si="5"/>
        <v>1.4708833061896811</v>
      </c>
      <c r="P21" s="6">
        <f t="shared" si="6"/>
        <v>16.967606630006248</v>
      </c>
      <c r="Q21" s="6">
        <f t="shared" si="7"/>
        <v>23.071315798614624</v>
      </c>
      <c r="R21" s="6">
        <f t="shared" si="8"/>
        <v>7.8426737530867756</v>
      </c>
      <c r="S21" s="6">
        <f t="shared" si="9"/>
        <v>-7.7825389519314117</v>
      </c>
      <c r="T21" s="6">
        <f t="shared" si="10"/>
        <v>-5.2910648446286714</v>
      </c>
      <c r="U21" s="6">
        <f t="shared" si="11"/>
        <v>57.006529058627123</v>
      </c>
      <c r="V21" s="11">
        <v>0</v>
      </c>
      <c r="W21" s="6">
        <f t="shared" si="12"/>
        <v>0.28964232857496741</v>
      </c>
      <c r="X21" s="6">
        <f>U21+V21+W21</f>
        <v>57.296171387202094</v>
      </c>
      <c r="Y21" s="6">
        <f t="shared" si="14"/>
        <v>0.99494482228807934</v>
      </c>
      <c r="Z21" s="6">
        <f t="shared" si="15"/>
        <v>0</v>
      </c>
      <c r="AA21" s="5">
        <f t="shared" si="16"/>
        <v>5.0551777119206102E-3</v>
      </c>
      <c r="AB21" s="4"/>
      <c r="AC21" s="4"/>
      <c r="AD21" s="4"/>
      <c r="AE21" s="4"/>
    </row>
    <row r="22" spans="1:31" x14ac:dyDescent="0.2">
      <c r="A22" s="2" t="s">
        <v>33</v>
      </c>
      <c r="B22" s="2">
        <v>3</v>
      </c>
      <c r="C22" s="2">
        <v>0.89459999999999995</v>
      </c>
      <c r="D22" s="4">
        <f t="shared" si="0"/>
        <v>3.578470381979624E-3</v>
      </c>
      <c r="E22" s="6">
        <v>547.74101642284643</v>
      </c>
      <c r="F22" s="3">
        <v>7.9763439359974465E-3</v>
      </c>
      <c r="G22" s="3">
        <v>4.8417669079334034E-4</v>
      </c>
      <c r="H22" s="6">
        <v>17.940192622748338</v>
      </c>
      <c r="I22" s="3">
        <v>0.27061582646958299</v>
      </c>
      <c r="J22" s="3">
        <v>0.12645575870985423</v>
      </c>
      <c r="K22" s="6">
        <f t="shared" ref="K22:K28" si="29">(F22*E22-($F$19*$E$19))*C22/(D22*B22)</f>
        <v>18.438428902418316</v>
      </c>
      <c r="L22" s="6">
        <f t="shared" ref="L22:L27" si="30">(G22*E22-($G$19*$E$19))*C22/(D22*B22)</f>
        <v>8.5190898715811976</v>
      </c>
      <c r="M22" s="6">
        <f t="shared" ref="M22:M28" si="31">(H22*I22-(AVERAGE($H$19)*AVERAGE($I$19)))*C22/(D22*B22*1000)</f>
        <v>0.24838945112260191</v>
      </c>
      <c r="N22" s="6">
        <f t="shared" si="28"/>
        <v>0.11832618515440967</v>
      </c>
      <c r="O22" s="5">
        <f t="shared" si="5"/>
        <v>1.0495962951838018</v>
      </c>
      <c r="P22" s="6">
        <f t="shared" si="6"/>
        <v>9.3850756568562677</v>
      </c>
      <c r="Q22" s="6">
        <f t="shared" si="7"/>
        <v>17.883210335098951</v>
      </c>
      <c r="R22" s="6">
        <f t="shared" si="8"/>
        <v>8.5190898715811976</v>
      </c>
      <c r="S22" s="6">
        <f t="shared" si="9"/>
        <v>0.58275535127566358</v>
      </c>
      <c r="T22" s="6">
        <f t="shared" si="10"/>
        <v>0.55521856731936481</v>
      </c>
      <c r="U22" s="6">
        <f t="shared" si="11"/>
        <v>36.653361648811483</v>
      </c>
      <c r="V22" s="6">
        <f t="shared" si="17"/>
        <v>1.1655107025513272</v>
      </c>
      <c r="W22" s="6">
        <f t="shared" si="12"/>
        <v>0.50909809878362289</v>
      </c>
      <c r="X22" s="6">
        <f t="shared" ref="X22:X28" si="32">U22+V22+W22</f>
        <v>38.327970450146438</v>
      </c>
      <c r="Y22" s="6">
        <f t="shared" si="14"/>
        <v>0.95630844050265762</v>
      </c>
      <c r="Z22" s="6">
        <f t="shared" si="15"/>
        <v>3.0408881265114682E-2</v>
      </c>
      <c r="AA22" s="5">
        <f t="shared" si="16"/>
        <v>1.3282678232227603E-2</v>
      </c>
      <c r="AB22" s="4"/>
      <c r="AC22" s="4"/>
      <c r="AD22" s="4"/>
      <c r="AE22" s="4"/>
    </row>
    <row r="23" spans="1:31" x14ac:dyDescent="0.2">
      <c r="A23" s="2" t="s">
        <v>34</v>
      </c>
      <c r="B23" s="2">
        <v>3</v>
      </c>
      <c r="C23" s="2">
        <v>0.89459999999999995</v>
      </c>
      <c r="D23" s="4">
        <f t="shared" si="0"/>
        <v>3.578470381979624E-3</v>
      </c>
      <c r="E23" s="6">
        <v>551.21277683995675</v>
      </c>
      <c r="F23" s="3">
        <v>7.8450076369015586E-3</v>
      </c>
      <c r="G23" s="3">
        <v>3.292986098056211E-4</v>
      </c>
      <c r="H23" s="6">
        <v>21.23443874776606</v>
      </c>
      <c r="I23" s="3">
        <v>0.44694549766654268</v>
      </c>
      <c r="J23" s="3">
        <v>0.15575048673464761</v>
      </c>
      <c r="K23" s="6">
        <f t="shared" si="29"/>
        <v>14.71331125560013</v>
      </c>
      <c r="L23" s="6">
        <f t="shared" si="30"/>
        <v>1.5450744051899257</v>
      </c>
      <c r="M23" s="6">
        <f t="shared" si="31"/>
        <v>0.63469324809616001</v>
      </c>
      <c r="N23" s="6">
        <f t="shared" si="28"/>
        <v>0.20487727456825963</v>
      </c>
      <c r="O23" s="5">
        <f t="shared" si="5"/>
        <v>1.5489596135873458</v>
      </c>
      <c r="P23" s="6">
        <f t="shared" si="6"/>
        <v>3.7070597601684714</v>
      </c>
      <c r="Q23" s="6">
        <f t="shared" si="7"/>
        <v>4.7865157072533711</v>
      </c>
      <c r="R23" s="6">
        <f t="shared" si="8"/>
        <v>1.5450744051899257</v>
      </c>
      <c r="S23" s="6">
        <f t="shared" si="9"/>
        <v>15.376205396727782</v>
      </c>
      <c r="T23" s="6">
        <f t="shared" si="10"/>
        <v>9.9267955483467603</v>
      </c>
      <c r="U23" s="6">
        <f t="shared" si="11"/>
        <v>12.200635227590315</v>
      </c>
      <c r="V23" s="6">
        <f t="shared" si="17"/>
        <v>30.752410793455564</v>
      </c>
      <c r="W23" s="6">
        <f t="shared" si="12"/>
        <v>1.6178074564136855</v>
      </c>
      <c r="X23" s="6">
        <f t="shared" si="32"/>
        <v>44.570853477459565</v>
      </c>
      <c r="Y23" s="6">
        <f t="shared" si="14"/>
        <v>0.27373573256254646</v>
      </c>
      <c r="Z23" s="6">
        <f t="shared" si="15"/>
        <v>0.68996683693767979</v>
      </c>
      <c r="AA23" s="5">
        <f t="shared" si="16"/>
        <v>3.62974304997737E-2</v>
      </c>
      <c r="AB23" s="4"/>
      <c r="AC23" s="4"/>
      <c r="AD23" s="4"/>
      <c r="AE23" s="4"/>
    </row>
    <row r="24" spans="1:31" x14ac:dyDescent="0.2">
      <c r="A24" s="2" t="s">
        <v>35</v>
      </c>
      <c r="B24" s="2">
        <v>3</v>
      </c>
      <c r="C24" s="2">
        <v>0.89459999999999995</v>
      </c>
      <c r="D24" s="4">
        <f t="shared" si="0"/>
        <v>3.578470381979624E-3</v>
      </c>
      <c r="E24" s="6">
        <v>546.62975322447699</v>
      </c>
      <c r="F24" s="3">
        <v>7.8153186855097756E-3</v>
      </c>
      <c r="G24" s="3">
        <v>3.2316389770021132E-4</v>
      </c>
      <c r="H24" s="6">
        <v>11.936385351775236</v>
      </c>
      <c r="I24" s="3">
        <v>0.15180797925671613</v>
      </c>
      <c r="J24" s="3">
        <v>5.4635789723320526E-2</v>
      </c>
      <c r="K24" s="6">
        <f t="shared" si="29"/>
        <v>10.364836830808903</v>
      </c>
      <c r="L24" s="6">
        <f t="shared" si="30"/>
        <v>1.1398657525972036</v>
      </c>
      <c r="M24" s="6">
        <f t="shared" si="31"/>
        <v>-5.1773543953237706E-3</v>
      </c>
      <c r="N24" s="6">
        <f t="shared" si="28"/>
        <v>-1.6378401181386195E-2</v>
      </c>
      <c r="O24" s="5">
        <f t="shared" si="5"/>
        <v>0.15805432831892516</v>
      </c>
      <c r="P24" s="6">
        <f t="shared" si="6"/>
        <v>2.8475180941109773E-2</v>
      </c>
      <c r="Q24" s="6">
        <f t="shared" si="7"/>
        <v>0.36032143180099424</v>
      </c>
      <c r="R24" s="6">
        <f t="shared" si="8"/>
        <v>1.1398657525972036</v>
      </c>
      <c r="S24" s="6">
        <f t="shared" si="9"/>
        <v>1.5812569615465386</v>
      </c>
      <c r="T24" s="6">
        <f t="shared" si="10"/>
        <v>10.004515399007909</v>
      </c>
      <c r="U24" s="6">
        <f t="shared" si="11"/>
        <v>0.41727179368321377</v>
      </c>
      <c r="V24" s="6">
        <f t="shared" si="17"/>
        <v>3.1625139230930772</v>
      </c>
      <c r="W24" s="11">
        <v>0</v>
      </c>
      <c r="X24" s="6">
        <f t="shared" si="32"/>
        <v>3.579785716776291</v>
      </c>
      <c r="Y24" s="6">
        <f t="shared" si="14"/>
        <v>0.11656334392522803</v>
      </c>
      <c r="Z24" s="6">
        <f>V24/(U24+V24+W24)</f>
        <v>0.88343665607477195</v>
      </c>
      <c r="AA24" s="5">
        <f t="shared" si="16"/>
        <v>0</v>
      </c>
      <c r="AB24" s="4"/>
      <c r="AC24" s="4"/>
      <c r="AD24" s="4"/>
      <c r="AE24" s="4"/>
    </row>
    <row r="25" spans="1:31" x14ac:dyDescent="0.2">
      <c r="A25" s="2" t="s">
        <v>36</v>
      </c>
      <c r="B25" s="2">
        <v>6</v>
      </c>
      <c r="C25" s="2">
        <v>0.89459999999999995</v>
      </c>
      <c r="D25" s="4">
        <f t="shared" si="0"/>
        <v>3.578470381979624E-3</v>
      </c>
      <c r="E25" s="6">
        <v>553.76790950383054</v>
      </c>
      <c r="F25" s="3">
        <v>8.1983179754778843E-3</v>
      </c>
      <c r="G25" s="3">
        <v>4.8523036083631028E-4</v>
      </c>
      <c r="H25" s="6">
        <v>10.003286249796192</v>
      </c>
      <c r="I25" s="3">
        <v>8.8912883079313665E-2</v>
      </c>
      <c r="J25" s="3">
        <v>3.0474921634993244E-2</v>
      </c>
      <c r="K25" s="6">
        <f t="shared" si="29"/>
        <v>16.343852315108482</v>
      </c>
      <c r="L25" s="6">
        <f t="shared" si="30"/>
        <v>4.4054408080919645</v>
      </c>
      <c r="M25" s="6">
        <f t="shared" si="31"/>
        <v>-4.1030317736959476E-2</v>
      </c>
      <c r="N25" s="6">
        <f t="shared" si="28"/>
        <v>-2.2659935788033457E-2</v>
      </c>
      <c r="O25" s="5">
        <f t="shared" si="5"/>
        <v>0.90534938229232054</v>
      </c>
      <c r="P25" s="6">
        <f t="shared" si="6"/>
        <v>3.6109526168556756</v>
      </c>
      <c r="Q25" s="6">
        <f t="shared" si="7"/>
        <v>7.976926228662883</v>
      </c>
      <c r="R25" s="6">
        <f t="shared" si="8"/>
        <v>4.4054408080919645</v>
      </c>
      <c r="S25" s="6">
        <f t="shared" si="9"/>
        <v>7.5749913640490254</v>
      </c>
      <c r="T25" s="6">
        <f t="shared" si="10"/>
        <v>8.3669260864455985</v>
      </c>
      <c r="U25" s="6">
        <f t="shared" si="11"/>
        <v>15.198831462374233</v>
      </c>
      <c r="V25" s="6">
        <f t="shared" si="17"/>
        <v>15.149982728098051</v>
      </c>
      <c r="W25" s="11">
        <v>0</v>
      </c>
      <c r="X25" s="6">
        <f t="shared" si="32"/>
        <v>30.348814190472282</v>
      </c>
      <c r="Y25" s="6">
        <f t="shared" si="14"/>
        <v>0.50080478818660923</v>
      </c>
      <c r="Z25" s="6">
        <f t="shared" si="15"/>
        <v>0.49919521181339077</v>
      </c>
      <c r="AA25" s="5">
        <f t="shared" si="16"/>
        <v>0</v>
      </c>
      <c r="AB25" s="4"/>
      <c r="AC25" s="4"/>
      <c r="AD25" s="4"/>
      <c r="AE25" s="4"/>
    </row>
    <row r="26" spans="1:31" x14ac:dyDescent="0.2">
      <c r="A26" s="2" t="s">
        <v>37</v>
      </c>
      <c r="B26" s="2">
        <v>6</v>
      </c>
      <c r="C26" s="2">
        <v>0.89459999999999995</v>
      </c>
      <c r="D26" s="4">
        <f t="shared" si="0"/>
        <v>3.578470381979624E-3</v>
      </c>
      <c r="E26" s="6">
        <v>576.43551863128869</v>
      </c>
      <c r="F26" s="3">
        <v>8.4633616223060391E-3</v>
      </c>
      <c r="G26" s="3">
        <v>9.257972148479578E-4</v>
      </c>
      <c r="H26" s="6">
        <v>22.764982315119717</v>
      </c>
      <c r="I26" s="3">
        <v>0.4350807815531928</v>
      </c>
      <c r="J26" s="3">
        <v>0.23110230885103042</v>
      </c>
      <c r="K26" s="6">
        <f t="shared" si="29"/>
        <v>30.452609790733657</v>
      </c>
      <c r="L26" s="6">
        <f t="shared" si="30"/>
        <v>15.445115137754929</v>
      </c>
      <c r="M26" s="6">
        <f t="shared" si="31"/>
        <v>0.33459501412693299</v>
      </c>
      <c r="N26" s="6">
        <f t="shared" si="28"/>
        <v>0.18384394463699738</v>
      </c>
      <c r="O26" s="5">
        <f t="shared" si="5"/>
        <v>0.90999737518577473</v>
      </c>
      <c r="P26" s="6">
        <f t="shared" si="6"/>
        <v>12.790026061865847</v>
      </c>
      <c r="Q26" s="6">
        <f t="shared" si="7"/>
        <v>28.11002846959812</v>
      </c>
      <c r="R26" s="6">
        <f t="shared" si="8"/>
        <v>15.445115137754929</v>
      </c>
      <c r="S26" s="6">
        <f t="shared" si="9"/>
        <v>2.1317428533925629</v>
      </c>
      <c r="T26" s="6">
        <f t="shared" si="10"/>
        <v>2.3425813211355369</v>
      </c>
      <c r="U26" s="6">
        <f t="shared" si="11"/>
        <v>53.69008059332981</v>
      </c>
      <c r="V26" s="6">
        <f t="shared" si="17"/>
        <v>4.2634857067851257</v>
      </c>
      <c r="W26" s="6">
        <f t="shared" si="12"/>
        <v>0.63907559873268915</v>
      </c>
      <c r="X26" s="6">
        <f t="shared" si="32"/>
        <v>58.592641898847624</v>
      </c>
      <c r="Y26" s="6">
        <f t="shared" si="14"/>
        <v>0.9163280380157387</v>
      </c>
      <c r="Z26" s="6">
        <f t="shared" si="15"/>
        <v>7.2764865495320463E-2</v>
      </c>
      <c r="AA26" s="5">
        <f t="shared" si="16"/>
        <v>1.0907096488940844E-2</v>
      </c>
      <c r="AB26" s="4"/>
      <c r="AC26" s="4"/>
      <c r="AD26" s="4"/>
      <c r="AE26" s="4"/>
    </row>
    <row r="27" spans="1:31" x14ac:dyDescent="0.2">
      <c r="A27" s="2" t="s">
        <v>38</v>
      </c>
      <c r="B27" s="2">
        <v>6</v>
      </c>
      <c r="C27" s="2">
        <v>0.89459999999999995</v>
      </c>
      <c r="D27" s="4">
        <f t="shared" si="0"/>
        <v>3.578470381979624E-3</v>
      </c>
      <c r="E27" s="6">
        <v>550.45813157888415</v>
      </c>
      <c r="F27" s="3">
        <v>8.9688016799687759E-3</v>
      </c>
      <c r="G27" s="3">
        <v>1.1596043901294212E-3</v>
      </c>
      <c r="H27" s="6">
        <v>38.724791109540085</v>
      </c>
      <c r="I27" s="3">
        <v>0.46057186060138278</v>
      </c>
      <c r="J27" s="3">
        <v>0.28853427801631026</v>
      </c>
      <c r="K27" s="6">
        <f t="shared" si="29"/>
        <v>32.884544005546694</v>
      </c>
      <c r="L27" s="6">
        <f t="shared" si="30"/>
        <v>19.805498886656178</v>
      </c>
      <c r="M27" s="6">
        <f t="shared" si="31"/>
        <v>0.66504446445391929</v>
      </c>
      <c r="N27" s="6">
        <f t="shared" si="28"/>
        <v>0.43018866898013375</v>
      </c>
      <c r="O27" s="5">
        <f t="shared" si="5"/>
        <v>0.7729683652879189</v>
      </c>
      <c r="P27" s="6">
        <f t="shared" si="6"/>
        <v>11.833391331285153</v>
      </c>
      <c r="Q27" s="6">
        <f t="shared" si="7"/>
        <v>30.618048196260649</v>
      </c>
      <c r="R27" s="6">
        <f t="shared" si="8"/>
        <v>19.805498886656178</v>
      </c>
      <c r="S27" s="6">
        <f t="shared" si="9"/>
        <v>1.7519295606357532</v>
      </c>
      <c r="T27" s="6">
        <f t="shared" si="10"/>
        <v>2.2664958092860452</v>
      </c>
      <c r="U27" s="6">
        <f t="shared" si="11"/>
        <v>54.284830858830958</v>
      </c>
      <c r="V27" s="6">
        <f t="shared" si="17"/>
        <v>3.5038591212715064</v>
      </c>
      <c r="W27" s="6">
        <f t="shared" si="12"/>
        <v>1.1791027969866448</v>
      </c>
      <c r="X27" s="6">
        <f t="shared" si="32"/>
        <v>58.967792777089109</v>
      </c>
      <c r="Y27" s="6">
        <f t="shared" si="14"/>
        <v>0.92058441230858423</v>
      </c>
      <c r="Z27" s="6">
        <f t="shared" si="15"/>
        <v>5.9419879162118966E-2</v>
      </c>
      <c r="AA27" s="5">
        <f t="shared" si="16"/>
        <v>1.9995708529296764E-2</v>
      </c>
      <c r="AB27" s="4"/>
      <c r="AC27" s="4"/>
      <c r="AD27" s="4"/>
      <c r="AE27" s="4"/>
    </row>
    <row r="28" spans="1:31" x14ac:dyDescent="0.2">
      <c r="A28" s="2" t="s">
        <v>39</v>
      </c>
      <c r="B28" s="2">
        <v>6</v>
      </c>
      <c r="C28" s="2">
        <v>0.89459999999999995</v>
      </c>
      <c r="D28" s="4">
        <f t="shared" si="0"/>
        <v>3.578470381979624E-3</v>
      </c>
      <c r="E28" s="6">
        <v>561.3156299713047</v>
      </c>
      <c r="F28" s="3">
        <v>7.760540799511358E-3</v>
      </c>
      <c r="G28" s="3">
        <v>4.0834445069651184E-4</v>
      </c>
      <c r="H28" s="6">
        <v>15.110550434104217</v>
      </c>
      <c r="I28" s="3">
        <v>0.23258495297532142</v>
      </c>
      <c r="J28" s="3">
        <v>0.12396199672036219</v>
      </c>
      <c r="K28" s="6">
        <f t="shared" si="29"/>
        <v>8.6834796947694493</v>
      </c>
      <c r="L28" s="6">
        <f>(G28*E28-($G$19*$E$19))*C28/(D28*B28)</f>
        <v>2.7598531760950347</v>
      </c>
      <c r="M28" s="6">
        <f t="shared" si="31"/>
        <v>6.8345266061433083E-2</v>
      </c>
      <c r="N28" s="6">
        <f t="shared" si="28"/>
        <v>4.2683972274655549E-2</v>
      </c>
      <c r="O28" s="5">
        <f t="shared" si="5"/>
        <v>0.80059636462202499</v>
      </c>
      <c r="P28" s="6">
        <f t="shared" si="6"/>
        <v>1.7689404203186387</v>
      </c>
      <c r="Q28" s="6">
        <f t="shared" si="7"/>
        <v>4.419056839344468</v>
      </c>
      <c r="R28" s="6">
        <f t="shared" si="8"/>
        <v>2.7598531760950347</v>
      </c>
      <c r="S28" s="6">
        <f t="shared" si="9"/>
        <v>3.4140814352643152</v>
      </c>
      <c r="T28" s="6">
        <f t="shared" si="10"/>
        <v>4.2644228554249812</v>
      </c>
      <c r="U28" s="6">
        <f t="shared" si="11"/>
        <v>7.9569376799817455</v>
      </c>
      <c r="V28" s="6">
        <f t="shared" si="17"/>
        <v>6.8281628705286304</v>
      </c>
      <c r="W28" s="6">
        <f t="shared" si="12"/>
        <v>0.12306223760934146</v>
      </c>
      <c r="X28" s="6">
        <f t="shared" si="32"/>
        <v>14.908162788119716</v>
      </c>
      <c r="Y28" s="6">
        <f t="shared" si="14"/>
        <v>0.53373026529617806</v>
      </c>
      <c r="Z28" s="6">
        <f t="shared" si="15"/>
        <v>0.45801504635903084</v>
      </c>
      <c r="AA28" s="5">
        <f t="shared" si="16"/>
        <v>8.2546883447911831E-3</v>
      </c>
      <c r="AB28" s="4"/>
      <c r="AC28" s="4"/>
      <c r="AD28" s="4"/>
      <c r="AE28" s="4"/>
    </row>
    <row r="29" spans="1:31" x14ac:dyDescent="0.2">
      <c r="D29" s="4"/>
      <c r="E29" s="6"/>
      <c r="F29" s="3"/>
      <c r="G29" s="3"/>
      <c r="H29" s="6"/>
      <c r="I29" s="3"/>
      <c r="J29" s="3"/>
      <c r="K29" s="6"/>
      <c r="L29" s="6"/>
      <c r="M29" s="6"/>
      <c r="N29" s="6"/>
      <c r="O29" s="5"/>
      <c r="P29" s="6"/>
      <c r="Q29" s="6"/>
      <c r="R29" s="6"/>
      <c r="S29" s="6"/>
      <c r="T29" s="8" t="s">
        <v>73</v>
      </c>
      <c r="U29" s="8">
        <f>AVERAGE(U21:U28)</f>
        <v>29.67605979040361</v>
      </c>
      <c r="V29" s="8">
        <f t="shared" ref="V29:W29" si="33">AVERAGE(V21:V28)</f>
        <v>8.1032407307229111</v>
      </c>
      <c r="W29" s="8">
        <f t="shared" si="33"/>
        <v>0.54472356463761884</v>
      </c>
      <c r="X29" s="8">
        <f t="shared" ref="X29" si="34">AVERAGE(X21:X28)</f>
        <v>38.324024085764144</v>
      </c>
      <c r="Y29" s="8">
        <f t="shared" ref="Y29" si="35">AVERAGE(Y21:Y28)</f>
        <v>0.65162498038570271</v>
      </c>
      <c r="Z29" s="8">
        <f t="shared" ref="Z29" si="36">AVERAGE(Z21:Z28)</f>
        <v>0.3366509221384284</v>
      </c>
      <c r="AA29" s="10">
        <f t="shared" ref="AA29" si="37">AVERAGE(AA21:AA28)</f>
        <v>1.1724097475868837E-2</v>
      </c>
      <c r="AB29" s="7">
        <f>U29/3200</f>
        <v>9.2737686845011276E-3</v>
      </c>
      <c r="AC29" s="7">
        <f t="shared" ref="AC29:AD29" si="38">V29/3200</f>
        <v>2.5322627283509095E-3</v>
      </c>
      <c r="AD29" s="7">
        <f t="shared" si="38"/>
        <v>1.7022611394925589E-4</v>
      </c>
      <c r="AE29" s="7">
        <f>X29/3200</f>
        <v>1.1976257526801294E-2</v>
      </c>
    </row>
    <row r="30" spans="1:31" x14ac:dyDescent="0.2">
      <c r="D30" s="4"/>
      <c r="E30" s="6"/>
      <c r="F30" s="3"/>
      <c r="G30" s="3"/>
      <c r="H30" s="6"/>
      <c r="I30" s="3"/>
      <c r="J30" s="3"/>
      <c r="K30" s="6"/>
      <c r="L30" s="6"/>
      <c r="M30" s="6"/>
      <c r="N30" s="6"/>
      <c r="O30" s="5"/>
      <c r="P30" s="6"/>
      <c r="Q30" s="6"/>
      <c r="R30" s="6"/>
      <c r="S30" s="6"/>
      <c r="T30" s="8" t="s">
        <v>74</v>
      </c>
      <c r="U30" s="8">
        <f>STDEV(U21:U28)</f>
        <v>23.362606398942038</v>
      </c>
      <c r="V30" s="8">
        <f t="shared" ref="V30:AA30" si="39">STDEV(V21:V28)</f>
        <v>10.270420219267709</v>
      </c>
      <c r="W30" s="8">
        <f t="shared" si="39"/>
        <v>0.58559246736296633</v>
      </c>
      <c r="X30" s="8">
        <f t="shared" si="39"/>
        <v>20.890927467305396</v>
      </c>
      <c r="Y30" s="8">
        <f t="shared" si="39"/>
        <v>0.34202016275251662</v>
      </c>
      <c r="Z30" s="8">
        <f t="shared" si="39"/>
        <v>0.34196232129448717</v>
      </c>
      <c r="AA30" s="10">
        <f t="shared" si="39"/>
        <v>1.1992766413216343E-2</v>
      </c>
      <c r="AB30" s="7">
        <f t="shared" ref="AB30:AD30" si="40">U30/3200</f>
        <v>7.3008144996693867E-3</v>
      </c>
      <c r="AC30" s="7">
        <f t="shared" si="40"/>
        <v>3.2095063185211591E-3</v>
      </c>
      <c r="AD30" s="7">
        <f t="shared" si="40"/>
        <v>1.8299764605092699E-4</v>
      </c>
      <c r="AE30" s="7">
        <f>X30/3200</f>
        <v>6.528414833532936E-3</v>
      </c>
    </row>
    <row r="31" spans="1:31" x14ac:dyDescent="0.2">
      <c r="D31" s="4"/>
      <c r="E31" s="6"/>
      <c r="F31" s="3"/>
      <c r="G31" s="3"/>
      <c r="H31" s="6"/>
      <c r="I31" s="3"/>
      <c r="J31" s="3"/>
      <c r="K31" s="6"/>
      <c r="L31" s="6"/>
      <c r="M31" s="6"/>
      <c r="N31" s="6"/>
      <c r="O31" s="5"/>
      <c r="P31" s="6"/>
      <c r="Q31" s="6"/>
      <c r="R31" s="6"/>
      <c r="S31" s="6"/>
      <c r="T31" s="8" t="s">
        <v>80</v>
      </c>
      <c r="U31" s="8">
        <f>AVERAGE(U21:U24)</f>
        <v>26.569449432178033</v>
      </c>
      <c r="V31" s="8">
        <f t="shared" ref="V31:AA31" si="41">AVERAGE(V21:V24)</f>
        <v>8.7701088547749926</v>
      </c>
      <c r="W31" s="8">
        <f t="shared" si="41"/>
        <v>0.60413697094306895</v>
      </c>
      <c r="X31" s="8">
        <f t="shared" si="41"/>
        <v>35.943695257896096</v>
      </c>
      <c r="Y31" s="8">
        <f t="shared" si="41"/>
        <v>0.5853880848196279</v>
      </c>
      <c r="Z31" s="8">
        <f t="shared" si="41"/>
        <v>0.40095309356939157</v>
      </c>
      <c r="AA31" s="10">
        <f t="shared" si="41"/>
        <v>1.3658821610980478E-2</v>
      </c>
      <c r="AB31" s="7"/>
      <c r="AC31" s="7"/>
      <c r="AD31" s="7"/>
      <c r="AE31" s="7"/>
    </row>
    <row r="32" spans="1:31" x14ac:dyDescent="0.2">
      <c r="D32" s="4"/>
      <c r="E32" s="6"/>
      <c r="F32" s="3"/>
      <c r="G32" s="3"/>
      <c r="H32" s="6"/>
      <c r="I32" s="3"/>
      <c r="J32" s="3"/>
      <c r="M32" s="6"/>
      <c r="N32" s="6"/>
      <c r="O32" s="5"/>
      <c r="P32" s="6"/>
      <c r="Q32" s="6"/>
      <c r="R32" s="6"/>
      <c r="S32" s="6"/>
      <c r="T32" s="8" t="s">
        <v>81</v>
      </c>
      <c r="U32" s="8">
        <f>STDEV(U21:U24)</f>
        <v>25.288339332987196</v>
      </c>
      <c r="V32" s="8">
        <f t="shared" ref="V32:AA32" si="42">STDEV(V21:V24)</f>
        <v>14.71293582557597</v>
      </c>
      <c r="W32" s="8">
        <f t="shared" si="42"/>
        <v>0.70721250933367064</v>
      </c>
      <c r="X32" s="8">
        <f t="shared" si="42"/>
        <v>22.974358930309897</v>
      </c>
      <c r="Y32" s="8">
        <f t="shared" si="42"/>
        <v>0.45542743944851793</v>
      </c>
      <c r="Z32" s="8">
        <f t="shared" si="42"/>
        <v>0.45254308393739212</v>
      </c>
      <c r="AA32" s="10">
        <f t="shared" si="42"/>
        <v>1.6054430254642534E-2</v>
      </c>
      <c r="AB32" s="7"/>
      <c r="AC32" s="7"/>
      <c r="AD32" s="7"/>
      <c r="AE32" s="7"/>
    </row>
    <row r="33" spans="1:31" x14ac:dyDescent="0.2">
      <c r="A33" s="2" t="s">
        <v>40</v>
      </c>
      <c r="B33" s="2">
        <v>0</v>
      </c>
      <c r="C33" s="2">
        <v>0.7157</v>
      </c>
      <c r="D33" s="4">
        <f t="shared" si="0"/>
        <v>3.578470381979624E-3</v>
      </c>
      <c r="E33" s="6">
        <v>590.11632229657141</v>
      </c>
      <c r="F33" s="3">
        <v>7.5963692395808842E-3</v>
      </c>
      <c r="G33" s="3">
        <v>8.766663645308183E-4</v>
      </c>
      <c r="H33" s="6">
        <v>15.186104856762883</v>
      </c>
      <c r="I33" s="3">
        <v>0.29533181519332447</v>
      </c>
      <c r="J33" s="3">
        <v>0.56132179397284954</v>
      </c>
      <c r="M33" s="6"/>
      <c r="N33" s="6"/>
      <c r="O33" s="5"/>
      <c r="P33" s="6"/>
      <c r="Q33" s="6"/>
      <c r="R33" s="6"/>
      <c r="S33" s="6"/>
      <c r="T33" s="8" t="s">
        <v>77</v>
      </c>
      <c r="U33" s="8">
        <f>AVERAGE(U25:U28)</f>
        <v>32.782670148629187</v>
      </c>
      <c r="V33" s="8">
        <f t="shared" ref="V33:AA33" si="43">AVERAGE(V25:V28)</f>
        <v>7.4363726066708287</v>
      </c>
      <c r="W33" s="8">
        <f t="shared" si="43"/>
        <v>0.48531015833216884</v>
      </c>
      <c r="X33" s="8">
        <f>AVERAGE(X25:X28)</f>
        <v>40.704352913632178</v>
      </c>
      <c r="Y33" s="8">
        <f t="shared" si="43"/>
        <v>0.71786187595177764</v>
      </c>
      <c r="Z33" s="8">
        <f t="shared" si="43"/>
        <v>0.27234875070746528</v>
      </c>
      <c r="AA33" s="10">
        <f t="shared" si="43"/>
        <v>9.7893733407571973E-3</v>
      </c>
      <c r="AB33" s="7"/>
      <c r="AC33" s="7"/>
      <c r="AD33" s="7"/>
      <c r="AE33" s="7"/>
    </row>
    <row r="34" spans="1:31" x14ac:dyDescent="0.2">
      <c r="A34" s="2" t="s">
        <v>41</v>
      </c>
      <c r="B34" s="2">
        <v>0</v>
      </c>
      <c r="C34" s="2">
        <v>0.7157</v>
      </c>
      <c r="D34" s="4">
        <f t="shared" si="0"/>
        <v>3.578470381979624E-3</v>
      </c>
      <c r="E34" s="6">
        <v>572.87865388417708</v>
      </c>
      <c r="F34" s="3">
        <v>8.6914738184021619E-3</v>
      </c>
      <c r="G34" s="3">
        <v>5.6434723908630243E-3</v>
      </c>
      <c r="H34" s="6">
        <v>770.28126609016908</v>
      </c>
      <c r="I34" s="3">
        <v>1.3635746226450024E-2</v>
      </c>
      <c r="J34" s="3">
        <v>1.0802234587777824E-2</v>
      </c>
      <c r="M34" s="6"/>
      <c r="N34" s="6"/>
      <c r="O34" s="5"/>
      <c r="P34" s="6"/>
      <c r="Q34" s="6"/>
      <c r="R34" s="6"/>
      <c r="S34" s="6"/>
      <c r="T34" s="8" t="s">
        <v>78</v>
      </c>
      <c r="U34" s="8">
        <f>STDEV(U25:U28)</f>
        <v>24.664219037974924</v>
      </c>
      <c r="V34" s="8">
        <f t="shared" ref="V34:AA34" si="44">STDEV(V25:V28)</f>
        <v>5.3354654211492019</v>
      </c>
      <c r="W34" s="8">
        <f t="shared" si="44"/>
        <v>0.53905520495310832</v>
      </c>
      <c r="X34" s="8">
        <f>STDEV(X25:X28)</f>
        <v>21.803858417744479</v>
      </c>
      <c r="Y34" s="8">
        <f t="shared" si="44"/>
        <v>0.23202260925971277</v>
      </c>
      <c r="Z34" s="8">
        <f t="shared" si="44"/>
        <v>0.2388191239070592</v>
      </c>
      <c r="AA34" s="10">
        <f t="shared" si="44"/>
        <v>8.2382375028153022E-3</v>
      </c>
      <c r="AB34" s="7"/>
      <c r="AC34" s="7"/>
      <c r="AD34" s="7"/>
      <c r="AE34" s="7"/>
    </row>
    <row r="35" spans="1:31" x14ac:dyDescent="0.2">
      <c r="A35" s="2" t="s">
        <v>42</v>
      </c>
      <c r="B35" s="2">
        <v>0</v>
      </c>
      <c r="C35" s="2">
        <v>0.7157</v>
      </c>
      <c r="D35" s="4">
        <f t="shared" si="0"/>
        <v>3.578470381979624E-3</v>
      </c>
      <c r="E35" s="6">
        <v>548.7541922149411</v>
      </c>
      <c r="F35" s="3">
        <v>7.3819435291568912E-3</v>
      </c>
      <c r="G35" s="3">
        <v>1.8978985539551215E-4</v>
      </c>
      <c r="H35" s="6">
        <v>13.552344331317162</v>
      </c>
      <c r="I35" s="3">
        <v>8.6786570282003043E-3</v>
      </c>
      <c r="J35" s="3">
        <v>6.0248855879306675E-3</v>
      </c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Y35" s="6"/>
      <c r="Z35" s="6"/>
      <c r="AA35" s="5"/>
      <c r="AB35" s="4"/>
      <c r="AC35" s="4"/>
      <c r="AD35" s="4"/>
      <c r="AE35" s="4"/>
    </row>
    <row r="36" spans="1:31" x14ac:dyDescent="0.2">
      <c r="A36" s="2" t="s">
        <v>43</v>
      </c>
      <c r="B36" s="2">
        <v>3</v>
      </c>
      <c r="C36" s="2">
        <v>0.89459999999999995</v>
      </c>
      <c r="D36" s="4">
        <f t="shared" si="0"/>
        <v>3.578470381979624E-3</v>
      </c>
      <c r="E36" s="6">
        <v>536.29831283424767</v>
      </c>
      <c r="F36" s="3">
        <v>7.6558178208091538E-3</v>
      </c>
      <c r="G36" s="3">
        <v>4.2986525877340508E-4</v>
      </c>
      <c r="H36" s="6">
        <v>13.946261462656571</v>
      </c>
      <c r="I36" s="3">
        <v>7.779734650352893E-2</v>
      </c>
      <c r="J36" s="3">
        <v>6.2819535727425851E-2</v>
      </c>
      <c r="K36" s="6">
        <f>(F36*E36-(AVERAGE($F$35)*AVERAGE($E$35)))*C36/(D36*B36)</f>
        <v>4.577386831679493</v>
      </c>
      <c r="L36" s="6">
        <f>(G36*E36-(AVERAGE($G$35)*AVERAGE($E$35)))*C36/(D36*B36)</f>
        <v>10.532129034681486</v>
      </c>
      <c r="M36" s="6">
        <f>(H36*I36-(AVERAGE($H$35)*AVERAGE($I$35)))*C36/(D36*B36*1000)</f>
        <v>8.0612246728047413E-2</v>
      </c>
      <c r="N36" s="6">
        <f>(H36*J36-(AVERAGE($H$35)*AVERAGE($J$35)))*C36/(D36*B36*1000)</f>
        <v>6.6202560071970618E-2</v>
      </c>
      <c r="O36" s="5">
        <f t="shared" si="5"/>
        <v>0.60883028269912542</v>
      </c>
      <c r="P36" s="6">
        <f t="shared" si="6"/>
        <v>3.9039896957428559</v>
      </c>
      <c r="Q36" s="6">
        <f t="shared" si="7"/>
        <v>12.824558195217591</v>
      </c>
      <c r="R36" s="6">
        <f t="shared" si="8"/>
        <v>10.532129034681486</v>
      </c>
      <c r="S36" s="6">
        <f t="shared" si="9"/>
        <v>-5.0211276727310317</v>
      </c>
      <c r="T36" s="6">
        <f t="shared" si="10"/>
        <v>-8.2471713635380972</v>
      </c>
      <c r="U36" s="6">
        <f t="shared" si="11"/>
        <v>20.632537586703304</v>
      </c>
      <c r="V36" s="11">
        <v>0</v>
      </c>
      <c r="W36" s="6">
        <f t="shared" si="12"/>
        <v>0.12969142369249614</v>
      </c>
      <c r="X36" s="6">
        <f>U36+V36+W36</f>
        <v>20.762229010395799</v>
      </c>
      <c r="Y36" s="6">
        <f t="shared" si="14"/>
        <v>0.99375349228507415</v>
      </c>
      <c r="Z36" s="6">
        <f t="shared" si="15"/>
        <v>0</v>
      </c>
      <c r="AA36" s="5">
        <f t="shared" si="16"/>
        <v>6.2465077149259215E-3</v>
      </c>
      <c r="AB36" s="4"/>
      <c r="AC36" s="4"/>
      <c r="AD36" s="4"/>
      <c r="AE36" s="4"/>
    </row>
    <row r="37" spans="1:31" x14ac:dyDescent="0.2">
      <c r="A37" s="2" t="s">
        <v>44</v>
      </c>
      <c r="B37" s="2">
        <v>3</v>
      </c>
      <c r="C37" s="2">
        <v>0.89459999999999995</v>
      </c>
      <c r="D37" s="4">
        <f t="shared" si="0"/>
        <v>3.578470381979624E-3</v>
      </c>
      <c r="E37" s="6">
        <v>541.84678483844118</v>
      </c>
      <c r="F37" s="3">
        <v>7.6820972185928432E-3</v>
      </c>
      <c r="G37" s="3">
        <v>5.8263871426607143E-4</v>
      </c>
      <c r="H37" s="6">
        <v>14.57023728339079</v>
      </c>
      <c r="I37" s="3">
        <v>0.22092364150604357</v>
      </c>
      <c r="J37" s="3">
        <v>0.24671934420811228</v>
      </c>
      <c r="K37" s="6">
        <f t="shared" ref="K37:K43" si="45">(F37*E37-(AVERAGE($F$35)*AVERAGE($E$35)))*C37/(D37*B37)</f>
        <v>9.3037520412548673</v>
      </c>
      <c r="L37" s="6">
        <f t="shared" ref="L37:L43" si="46">(G37*E37-(AVERAGE($G$35)*AVERAGE($E$35)))*C37/(D37*B37)</f>
        <v>17.629064533274153</v>
      </c>
      <c r="M37" s="6">
        <f t="shared" ref="M37:M43" si="47">(H37*I37-(AVERAGE($H$35)*AVERAGE($I$35)))*C37/(D37*B37*1000)</f>
        <v>0.25843606109068656</v>
      </c>
      <c r="N37" s="6">
        <f t="shared" ref="N37:N43" si="48">(H37*J37-(AVERAGE($H$35)*AVERAGE($J$35)))*C37/(D37*B37*1000)</f>
        <v>0.29275324725401608</v>
      </c>
      <c r="O37" s="5">
        <f t="shared" si="5"/>
        <v>0.44138888896157452</v>
      </c>
      <c r="P37" s="6">
        <f t="shared" si="6"/>
        <v>3.4345675358857344</v>
      </c>
      <c r="Q37" s="6">
        <f t="shared" si="7"/>
        <v>15.562546415547553</v>
      </c>
      <c r="R37" s="6">
        <f t="shared" si="8"/>
        <v>17.629064533274153</v>
      </c>
      <c r="S37" s="6">
        <f t="shared" si="9"/>
        <v>-2.7625622951080016</v>
      </c>
      <c r="T37" s="6">
        <f t="shared" si="10"/>
        <v>-6.2587943742926857</v>
      </c>
      <c r="U37" s="6">
        <f t="shared" si="11"/>
        <v>22.431681487319022</v>
      </c>
      <c r="V37" s="11">
        <v>0</v>
      </c>
      <c r="W37" s="6">
        <f t="shared" si="12"/>
        <v>0.37250686696311031</v>
      </c>
      <c r="X37" s="6">
        <f t="shared" ref="X37:X43" si="49">U37+V37+W37</f>
        <v>22.804188354282132</v>
      </c>
      <c r="Y37" s="6">
        <f t="shared" si="14"/>
        <v>0.98366498025819182</v>
      </c>
      <c r="Z37" s="6">
        <f t="shared" si="15"/>
        <v>0</v>
      </c>
      <c r="AA37" s="5">
        <f t="shared" si="16"/>
        <v>1.6335019741808156E-2</v>
      </c>
      <c r="AB37" s="4"/>
      <c r="AC37" s="4"/>
      <c r="AD37" s="4"/>
      <c r="AE37" s="4"/>
    </row>
    <row r="38" spans="1:31" x14ac:dyDescent="0.2">
      <c r="A38" s="2" t="s">
        <v>45</v>
      </c>
      <c r="B38" s="2">
        <v>3</v>
      </c>
      <c r="C38" s="2">
        <v>0.89459999999999995</v>
      </c>
      <c r="D38" s="4">
        <f t="shared" si="0"/>
        <v>3.578470381979624E-3</v>
      </c>
      <c r="E38" s="6">
        <v>537.83718215341241</v>
      </c>
      <c r="F38" s="3">
        <v>7.878759290255449E-3</v>
      </c>
      <c r="G38" s="3">
        <v>6.2745855197233026E-4</v>
      </c>
      <c r="H38" s="6">
        <v>11.11350668804281</v>
      </c>
      <c r="I38" s="3">
        <v>3.3527745322808805E-2</v>
      </c>
      <c r="J38" s="3">
        <v>6.6050412256492552E-2</v>
      </c>
      <c r="K38" s="6">
        <f t="shared" si="45"/>
        <v>15.551130566403122</v>
      </c>
      <c r="L38" s="6">
        <f t="shared" si="46"/>
        <v>19.443164307823647</v>
      </c>
      <c r="M38" s="6">
        <f t="shared" si="47"/>
        <v>2.1249138185061772E-2</v>
      </c>
      <c r="N38" s="6">
        <f t="shared" si="48"/>
        <v>5.4365628565977944E-2</v>
      </c>
      <c r="O38" s="5">
        <f t="shared" si="5"/>
        <v>0.19542805579148129</v>
      </c>
      <c r="P38" s="6">
        <f t="shared" si="6"/>
        <v>0.74257576145402993</v>
      </c>
      <c r="Q38" s="6">
        <f t="shared" si="7"/>
        <v>7.5994795982245948</v>
      </c>
      <c r="R38" s="6">
        <f t="shared" si="8"/>
        <v>19.443164307823647</v>
      </c>
      <c r="S38" s="6">
        <f t="shared" si="9"/>
        <v>1.5539756890435794</v>
      </c>
      <c r="T38" s="6">
        <f t="shared" si="10"/>
        <v>7.9516509681785275</v>
      </c>
      <c r="U38" s="6">
        <f t="shared" si="11"/>
        <v>9.084631121132654</v>
      </c>
      <c r="V38" s="6">
        <f t="shared" si="17"/>
        <v>3.1079513780871588</v>
      </c>
      <c r="W38" s="6">
        <f t="shared" si="12"/>
        <v>2.540181594781292E-2</v>
      </c>
      <c r="X38" s="6">
        <f t="shared" si="49"/>
        <v>12.217984315167627</v>
      </c>
      <c r="Y38" s="6">
        <f t="shared" si="14"/>
        <v>0.74354581629760552</v>
      </c>
      <c r="Z38" s="6">
        <f t="shared" si="15"/>
        <v>0.25437513242089299</v>
      </c>
      <c r="AA38" s="5">
        <f t="shared" si="16"/>
        <v>2.0790512815013723E-3</v>
      </c>
      <c r="AB38" s="4"/>
      <c r="AC38" s="4"/>
      <c r="AD38" s="4"/>
      <c r="AE38" s="4"/>
    </row>
    <row r="39" spans="1:31" s="14" customFormat="1" x14ac:dyDescent="0.2">
      <c r="A39" s="13" t="s">
        <v>46</v>
      </c>
      <c r="B39" s="14">
        <v>3</v>
      </c>
      <c r="C39" s="14">
        <v>0.89459999999999995</v>
      </c>
      <c r="D39" s="15">
        <f t="shared" si="0"/>
        <v>3.578470381979624E-3</v>
      </c>
      <c r="E39" s="16">
        <v>550.83820699034914</v>
      </c>
      <c r="F39" s="17">
        <v>7.3300101893468287E-3</v>
      </c>
      <c r="G39" s="17">
        <v>8.9827530078560451E-5</v>
      </c>
      <c r="H39" s="16">
        <v>8.8701393878210535</v>
      </c>
      <c r="I39" s="17">
        <v>8.6937058140016752E-5</v>
      </c>
      <c r="J39" s="17">
        <v>-5.0529318132076198E-4</v>
      </c>
      <c r="K39" s="16">
        <f t="shared" si="45"/>
        <v>-1.1018773608246661</v>
      </c>
      <c r="L39" s="16">
        <f t="shared" si="46"/>
        <v>-4.5555389975445451</v>
      </c>
      <c r="M39" s="16">
        <f t="shared" si="47"/>
        <v>-9.7368922023314698E-3</v>
      </c>
      <c r="N39" s="16">
        <f t="shared" si="48"/>
        <v>-7.1776375757337287E-3</v>
      </c>
      <c r="O39" s="18">
        <f t="shared" si="5"/>
        <v>0.67827973337983172</v>
      </c>
      <c r="P39" s="16">
        <f t="shared" si="6"/>
        <v>-2.0958367450725937</v>
      </c>
      <c r="Q39" s="16">
        <f t="shared" si="7"/>
        <v>-6.1798595533118794</v>
      </c>
      <c r="R39" s="16">
        <f t="shared" si="8"/>
        <v>-4.5555389975445451</v>
      </c>
      <c r="S39" s="16">
        <f t="shared" si="9"/>
        <v>3.4442924076277603</v>
      </c>
      <c r="T39" s="16">
        <f t="shared" si="10"/>
        <v>5.0779821924872133</v>
      </c>
      <c r="U39" s="16">
        <f t="shared" si="11"/>
        <v>-10.371533043457067</v>
      </c>
      <c r="V39" s="16">
        <f t="shared" si="17"/>
        <v>6.8885848152555207</v>
      </c>
      <c r="W39" s="16">
        <f t="shared" si="12"/>
        <v>-1.634122884927702E-2</v>
      </c>
      <c r="X39" s="16">
        <f t="shared" si="49"/>
        <v>-3.4992894570508231</v>
      </c>
      <c r="Y39" s="16">
        <f t="shared" si="14"/>
        <v>2.9638968627071289</v>
      </c>
      <c r="Z39" s="16">
        <f t="shared" si="15"/>
        <v>-1.9685667332765242</v>
      </c>
      <c r="AA39" s="18">
        <f t="shared" si="16"/>
        <v>4.6698705693953351E-3</v>
      </c>
      <c r="AB39" s="15"/>
      <c r="AC39" s="15"/>
      <c r="AD39" s="15"/>
      <c r="AE39" s="4"/>
    </row>
    <row r="40" spans="1:31" x14ac:dyDescent="0.2">
      <c r="A40" s="12" t="s">
        <v>47</v>
      </c>
      <c r="B40" s="2">
        <v>6</v>
      </c>
      <c r="C40" s="2">
        <v>0.89459999999999995</v>
      </c>
      <c r="D40" s="4">
        <f t="shared" si="0"/>
        <v>3.578470381979624E-3</v>
      </c>
      <c r="E40" s="6">
        <v>541.39189817633962</v>
      </c>
      <c r="F40" s="3">
        <v>8.0306666945905662E-3</v>
      </c>
      <c r="G40" s="3">
        <v>1.0404067309991948E-3</v>
      </c>
      <c r="H40" s="6">
        <v>10.069338909074215</v>
      </c>
      <c r="I40" s="3">
        <v>6.1913634119759697E-2</v>
      </c>
      <c r="J40" s="3">
        <v>6.0013293371460691E-2</v>
      </c>
      <c r="K40" s="6">
        <f t="shared" si="45"/>
        <v>12.36914951192071</v>
      </c>
      <c r="L40" s="6">
        <f t="shared" si="46"/>
        <v>19.129615255612894</v>
      </c>
      <c r="M40" s="6">
        <f t="shared" si="47"/>
        <v>2.1075136176755684E-2</v>
      </c>
      <c r="N40" s="6">
        <f t="shared" si="48"/>
        <v>2.1776357772144244E-2</v>
      </c>
      <c r="O40" s="5">
        <f t="shared" si="5"/>
        <v>0.48389947477154455</v>
      </c>
      <c r="P40" s="6">
        <f t="shared" si="6"/>
        <v>4.479365871972135</v>
      </c>
      <c r="Q40" s="6">
        <f t="shared" si="7"/>
        <v>18.513621549545611</v>
      </c>
      <c r="R40" s="6">
        <f t="shared" si="8"/>
        <v>19.129615255612894</v>
      </c>
      <c r="S40" s="6">
        <f t="shared" si="9"/>
        <v>-2.9733067917551317</v>
      </c>
      <c r="T40" s="6">
        <f t="shared" si="10"/>
        <v>-6.1444720376249009</v>
      </c>
      <c r="U40" s="6">
        <f t="shared" si="11"/>
        <v>27.472353293489881</v>
      </c>
      <c r="V40" s="11">
        <v>0</v>
      </c>
      <c r="W40" s="6">
        <f t="shared" si="12"/>
        <v>3.1273383503426531E-2</v>
      </c>
      <c r="X40" s="6">
        <f t="shared" si="49"/>
        <v>27.503626676993306</v>
      </c>
      <c r="Y40" s="6">
        <f t="shared" si="14"/>
        <v>0.99886293600946874</v>
      </c>
      <c r="Z40" s="6">
        <f t="shared" si="15"/>
        <v>0</v>
      </c>
      <c r="AA40" s="5">
        <f t="shared" si="16"/>
        <v>1.137063990531351E-3</v>
      </c>
      <c r="AB40" s="4"/>
      <c r="AC40" s="4"/>
      <c r="AD40" s="4"/>
      <c r="AE40" s="4"/>
    </row>
    <row r="41" spans="1:31" x14ac:dyDescent="0.2">
      <c r="A41" s="12" t="s">
        <v>48</v>
      </c>
      <c r="B41" s="2">
        <v>6</v>
      </c>
      <c r="C41" s="2">
        <v>0.89459999999999995</v>
      </c>
      <c r="D41" s="4">
        <f t="shared" si="0"/>
        <v>3.578470381979624E-3</v>
      </c>
      <c r="E41" s="6">
        <v>539.90482111757581</v>
      </c>
      <c r="F41" s="3">
        <v>7.967783734095563E-3</v>
      </c>
      <c r="G41" s="3">
        <v>7.8858566346837525E-4</v>
      </c>
      <c r="H41" s="6">
        <v>14.919302464132141</v>
      </c>
      <c r="I41" s="3">
        <v>0.10039001714710867</v>
      </c>
      <c r="J41" s="3">
        <v>0.11184728610808008</v>
      </c>
      <c r="K41" s="6">
        <f t="shared" si="45"/>
        <v>10.456977382199478</v>
      </c>
      <c r="L41" s="6">
        <f t="shared" si="46"/>
        <v>13.400287384902592</v>
      </c>
      <c r="M41" s="6">
        <f t="shared" si="47"/>
        <v>5.7504405713471242E-2</v>
      </c>
      <c r="N41" s="6">
        <f t="shared" si="48"/>
        <v>6.6125039715369691E-2</v>
      </c>
      <c r="O41" s="5">
        <f t="shared" si="5"/>
        <v>0.4348156610642101</v>
      </c>
      <c r="P41" s="6">
        <f t="shared" si="6"/>
        <v>2.5335207663585018</v>
      </c>
      <c r="Q41" s="6">
        <f t="shared" si="7"/>
        <v>11.653309635433631</v>
      </c>
      <c r="R41" s="6">
        <f t="shared" si="8"/>
        <v>13.400287384902592</v>
      </c>
      <c r="S41" s="6">
        <f t="shared" si="9"/>
        <v>-0.52018399954244454</v>
      </c>
      <c r="T41" s="6">
        <f t="shared" si="10"/>
        <v>-1.1963322532341536</v>
      </c>
      <c r="U41" s="6">
        <f t="shared" si="11"/>
        <v>16.720351168150636</v>
      </c>
      <c r="V41" s="11">
        <v>0</v>
      </c>
      <c r="W41" s="6">
        <f t="shared" si="12"/>
        <v>8.2508221897878778E-2</v>
      </c>
      <c r="X41" s="6">
        <f t="shared" si="49"/>
        <v>16.802859390048514</v>
      </c>
      <c r="Y41" s="6">
        <f t="shared" si="14"/>
        <v>0.99508963206900702</v>
      </c>
      <c r="Z41" s="6">
        <f t="shared" si="15"/>
        <v>0</v>
      </c>
      <c r="AA41" s="5">
        <f t="shared" si="16"/>
        <v>4.9103679309929977E-3</v>
      </c>
      <c r="AB41" s="4"/>
      <c r="AC41" s="4"/>
      <c r="AD41" s="4"/>
      <c r="AE41" s="4"/>
    </row>
    <row r="42" spans="1:31" x14ac:dyDescent="0.2">
      <c r="A42" s="12" t="s">
        <v>49</v>
      </c>
      <c r="B42" s="2">
        <v>6</v>
      </c>
      <c r="C42" s="2">
        <v>0.89459999999999995</v>
      </c>
      <c r="D42" s="4">
        <f t="shared" si="0"/>
        <v>3.578470381979624E-3</v>
      </c>
      <c r="E42" s="6">
        <v>543.81272924927669</v>
      </c>
      <c r="F42" s="3">
        <v>8.287070446722793E-3</v>
      </c>
      <c r="G42" s="3">
        <v>1.4037694123508221E-3</v>
      </c>
      <c r="H42" s="6">
        <v>26.411614103467826</v>
      </c>
      <c r="I42" s="3">
        <v>0.26548975491786814</v>
      </c>
      <c r="J42" s="3">
        <v>0.32360409679262547</v>
      </c>
      <c r="K42" s="6">
        <f t="shared" si="45"/>
        <v>18.988873965941714</v>
      </c>
      <c r="L42" s="6">
        <f t="shared" si="46"/>
        <v>27.467780439069301</v>
      </c>
      <c r="M42" s="6">
        <f t="shared" si="47"/>
        <v>0.28726088361402075</v>
      </c>
      <c r="N42" s="6">
        <f t="shared" si="48"/>
        <v>0.35271202944282598</v>
      </c>
      <c r="O42" s="5">
        <f t="shared" si="5"/>
        <v>0.40721730425214381</v>
      </c>
      <c r="P42" s="6">
        <f t="shared" si="6"/>
        <v>4.5548703155171406</v>
      </c>
      <c r="Q42" s="6">
        <f t="shared" si="7"/>
        <v>22.370711008375135</v>
      </c>
      <c r="R42" s="6">
        <f t="shared" si="8"/>
        <v>27.467780439069301</v>
      </c>
      <c r="S42" s="6">
        <f t="shared" si="9"/>
        <v>-1.3771425638397807</v>
      </c>
      <c r="T42" s="6">
        <f t="shared" si="10"/>
        <v>-3.3818370424334212</v>
      </c>
      <c r="U42" s="6">
        <f t="shared" si="11"/>
        <v>31.480451639409416</v>
      </c>
      <c r="V42" s="11">
        <v>0</v>
      </c>
      <c r="W42" s="6">
        <f t="shared" si="12"/>
        <v>0.40423848625641107</v>
      </c>
      <c r="X42" s="6">
        <f t="shared" si="49"/>
        <v>31.884690125665827</v>
      </c>
      <c r="Y42" s="6">
        <f t="shared" si="14"/>
        <v>0.98732186247809839</v>
      </c>
      <c r="Z42" s="6">
        <f t="shared" si="15"/>
        <v>0</v>
      </c>
      <c r="AA42" s="5">
        <f t="shared" si="16"/>
        <v>1.2678137521901653E-2</v>
      </c>
      <c r="AB42" s="4"/>
      <c r="AC42" s="4"/>
      <c r="AD42" s="4"/>
      <c r="AE42" s="4"/>
    </row>
    <row r="43" spans="1:31" s="14" customFormat="1" x14ac:dyDescent="0.2">
      <c r="A43" s="13" t="s">
        <v>50</v>
      </c>
      <c r="B43" s="14">
        <v>6</v>
      </c>
      <c r="C43" s="14">
        <v>0.89459999999999995</v>
      </c>
      <c r="D43" s="15">
        <f t="shared" si="0"/>
        <v>3.578470381979624E-3</v>
      </c>
      <c r="E43" s="16">
        <v>566.04928747499798</v>
      </c>
      <c r="F43" s="17">
        <v>7.3272721543142516E-3</v>
      </c>
      <c r="G43" s="17">
        <v>8.9617031752273871E-5</v>
      </c>
      <c r="H43" s="16">
        <v>6.6314933455569953</v>
      </c>
      <c r="I43" s="17">
        <v>3.3925536756789433E-3</v>
      </c>
      <c r="J43" s="17">
        <v>3.8935225973759838E-4</v>
      </c>
      <c r="K43" s="16">
        <f t="shared" si="45"/>
        <v>4.0301175569765215</v>
      </c>
      <c r="L43" s="16">
        <f t="shared" si="46"/>
        <v>-2.2258029641228676</v>
      </c>
      <c r="M43" s="16">
        <f t="shared" si="47"/>
        <v>-3.9631908520240287E-3</v>
      </c>
      <c r="N43" s="16">
        <f t="shared" si="48"/>
        <v>-3.294490915641061E-3</v>
      </c>
      <c r="O43" s="18">
        <f t="shared" si="5"/>
        <v>0.60148759755387704</v>
      </c>
      <c r="P43" s="16">
        <f t="shared" si="6"/>
        <v>-0.80526731152088171</v>
      </c>
      <c r="Q43" s="16">
        <f t="shared" si="7"/>
        <v>-2.677585755037124</v>
      </c>
      <c r="R43" s="16">
        <f t="shared" si="8"/>
        <v>-2.2258029641228676</v>
      </c>
      <c r="S43" s="16">
        <f t="shared" si="9"/>
        <v>4.0346003502472714</v>
      </c>
      <c r="T43" s="16">
        <f t="shared" si="10"/>
        <v>6.7077033120136456</v>
      </c>
      <c r="U43" s="16">
        <f t="shared" si="11"/>
        <v>-4.2881203780788875</v>
      </c>
      <c r="V43" s="16">
        <f t="shared" si="17"/>
        <v>8.0692007004945427</v>
      </c>
      <c r="W43" s="16">
        <f t="shared" si="12"/>
        <v>-6.3470009962554646E-3</v>
      </c>
      <c r="X43" s="16">
        <f t="shared" si="49"/>
        <v>3.7747333214193999</v>
      </c>
      <c r="Y43" s="16">
        <f t="shared" si="14"/>
        <v>-1.1360061792302829</v>
      </c>
      <c r="Z43" s="16">
        <f t="shared" si="15"/>
        <v>2.1376876227802786</v>
      </c>
      <c r="AA43" s="18">
        <f t="shared" si="16"/>
        <v>-1.6814435499959567E-3</v>
      </c>
      <c r="AB43" s="15"/>
      <c r="AC43" s="15"/>
      <c r="AD43" s="15"/>
      <c r="AE43" s="4"/>
    </row>
    <row r="44" spans="1:31" s="14" customFormat="1" x14ac:dyDescent="0.2">
      <c r="A44" s="13" t="s">
        <v>72</v>
      </c>
      <c r="D44" s="15"/>
      <c r="E44" s="16"/>
      <c r="F44" s="17"/>
      <c r="G44" s="17"/>
      <c r="H44" s="16"/>
      <c r="I44" s="17"/>
      <c r="J44" s="17"/>
      <c r="M44" s="16"/>
      <c r="N44" s="16"/>
      <c r="O44" s="18"/>
      <c r="P44" s="16"/>
      <c r="Q44" s="16"/>
      <c r="R44" s="16"/>
      <c r="S44" s="16"/>
      <c r="T44" s="8" t="s">
        <v>73</v>
      </c>
      <c r="U44" s="8">
        <f>AVERAGE(U36:U38,U40:U42)</f>
        <v>21.303667716034152</v>
      </c>
      <c r="V44" s="8">
        <f t="shared" ref="V44:AA44" si="50">AVERAGE(V36:V38,V40:V42)</f>
        <v>0.5179918963478598</v>
      </c>
      <c r="W44" s="8">
        <f t="shared" si="50"/>
        <v>0.17427003304352262</v>
      </c>
      <c r="X44" s="8">
        <f t="shared" si="50"/>
        <v>21.995929645425534</v>
      </c>
      <c r="Y44" s="8">
        <f t="shared" si="50"/>
        <v>0.95037311989957429</v>
      </c>
      <c r="Z44" s="8">
        <f t="shared" si="50"/>
        <v>4.2395855403482167E-2</v>
      </c>
      <c r="AA44" s="10">
        <f t="shared" si="50"/>
        <v>7.2310246969435749E-3</v>
      </c>
      <c r="AB44" s="7">
        <f t="shared" ref="AB44:AD45" si="51">U44/3200</f>
        <v>6.6573961612606727E-3</v>
      </c>
      <c r="AC44" s="7">
        <f t="shared" si="51"/>
        <v>1.6187246760870618E-4</v>
      </c>
      <c r="AD44" s="7">
        <f t="shared" si="51"/>
        <v>5.4459385326100822E-5</v>
      </c>
      <c r="AE44" s="7">
        <f>X44/3200</f>
        <v>6.8737280141954789E-3</v>
      </c>
    </row>
    <row r="45" spans="1:31" s="14" customFormat="1" x14ac:dyDescent="0.2">
      <c r="A45" s="13"/>
      <c r="D45" s="15"/>
      <c r="E45" s="16"/>
      <c r="F45" s="17"/>
      <c r="G45" s="17"/>
      <c r="H45" s="16"/>
      <c r="I45" s="17"/>
      <c r="J45" s="17"/>
      <c r="M45" s="16"/>
      <c r="N45" s="16"/>
      <c r="O45" s="18"/>
      <c r="P45" s="16"/>
      <c r="Q45" s="16"/>
      <c r="R45" s="16"/>
      <c r="S45" s="16"/>
      <c r="T45" s="8" t="s">
        <v>74</v>
      </c>
      <c r="U45" s="8">
        <f>STDEV(U36:U38,U40:U42)</f>
        <v>7.9202789014141315</v>
      </c>
      <c r="V45" s="8">
        <f>STDEV(V36:V38,V40:V42)</f>
        <v>1.2688158369488898</v>
      </c>
      <c r="W45" s="8">
        <f t="shared" ref="W45:AA45" si="52">STDEV(W36:W38,W40:W42)</f>
        <v>0.17041162051511585</v>
      </c>
      <c r="X45" s="8">
        <f t="shared" si="52"/>
        <v>7.1115933992771598</v>
      </c>
      <c r="Y45" s="8">
        <f t="shared" si="52"/>
        <v>0.10147292889712776</v>
      </c>
      <c r="Z45" s="8">
        <f t="shared" si="52"/>
        <v>0.10384821294734835</v>
      </c>
      <c r="AA45" s="10">
        <f t="shared" si="52"/>
        <v>6.0429739794689574E-3</v>
      </c>
      <c r="AB45" s="7">
        <f t="shared" si="51"/>
        <v>2.4750871566919159E-3</v>
      </c>
      <c r="AC45" s="7">
        <f t="shared" si="51"/>
        <v>3.9650494904652805E-4</v>
      </c>
      <c r="AD45" s="7">
        <f t="shared" si="51"/>
        <v>5.3253631410973704E-5</v>
      </c>
      <c r="AE45" s="7">
        <f>X45/3200</f>
        <v>2.2223729372741123E-3</v>
      </c>
    </row>
    <row r="46" spans="1:31" s="14" customFormat="1" x14ac:dyDescent="0.2">
      <c r="A46" s="13"/>
      <c r="D46" s="15"/>
      <c r="E46" s="16"/>
      <c r="F46" s="17"/>
      <c r="G46" s="17"/>
      <c r="H46" s="16"/>
      <c r="I46" s="17"/>
      <c r="J46" s="17"/>
      <c r="M46" s="16"/>
      <c r="N46" s="16"/>
      <c r="O46" s="18"/>
      <c r="P46" s="16"/>
      <c r="Q46" s="16"/>
      <c r="R46" s="16"/>
      <c r="S46" s="16"/>
      <c r="T46" s="8" t="s">
        <v>80</v>
      </c>
      <c r="U46" s="8">
        <f>AVERAGE(U36:U38)</f>
        <v>17.382950065051659</v>
      </c>
      <c r="V46" s="8">
        <f t="shared" ref="V46:AA46" si="53">AVERAGE(V36:V38)</f>
        <v>1.0359837926957196</v>
      </c>
      <c r="W46" s="8">
        <f t="shared" si="53"/>
        <v>0.17586670220113976</v>
      </c>
      <c r="X46" s="8">
        <f t="shared" si="53"/>
        <v>18.594800559948521</v>
      </c>
      <c r="Y46" s="8">
        <f t="shared" si="53"/>
        <v>0.90698809628029053</v>
      </c>
      <c r="Z46" s="8">
        <f t="shared" si="53"/>
        <v>8.4791710806964335E-2</v>
      </c>
      <c r="AA46" s="10">
        <f t="shared" si="53"/>
        <v>8.2201929127451497E-3</v>
      </c>
      <c r="AB46" s="7"/>
      <c r="AC46" s="7"/>
      <c r="AD46" s="7"/>
      <c r="AE46" s="7"/>
    </row>
    <row r="47" spans="1:31" s="14" customFormat="1" x14ac:dyDescent="0.2">
      <c r="A47" s="13"/>
      <c r="D47" s="15"/>
      <c r="E47" s="16"/>
      <c r="F47" s="17"/>
      <c r="G47" s="17"/>
      <c r="H47" s="16"/>
      <c r="I47" s="17"/>
      <c r="J47" s="17"/>
      <c r="M47" s="16"/>
      <c r="N47" s="16"/>
      <c r="O47" s="18"/>
      <c r="P47" s="16"/>
      <c r="Q47" s="16"/>
      <c r="R47" s="16"/>
      <c r="S47" s="16"/>
      <c r="T47" s="8" t="s">
        <v>81</v>
      </c>
      <c r="U47" s="8">
        <f>STDEV(U36:U38)</f>
        <v>7.2426378250630847</v>
      </c>
      <c r="V47" s="8">
        <f t="shared" ref="V47:AA47" si="54">STDEV(V36:V38)</f>
        <v>1.7943765647668894</v>
      </c>
      <c r="W47" s="8">
        <f t="shared" si="54"/>
        <v>0.17809996173243881</v>
      </c>
      <c r="X47" s="8">
        <f>STDEV(X36:X38)</f>
        <v>5.616069671513813</v>
      </c>
      <c r="Y47" s="8">
        <f t="shared" si="54"/>
        <v>0.14163501926848049</v>
      </c>
      <c r="Z47" s="8">
        <f t="shared" si="54"/>
        <v>0.14686355117834929</v>
      </c>
      <c r="AA47" s="10">
        <f t="shared" si="54"/>
        <v>7.3300568981682183E-3</v>
      </c>
      <c r="AB47" s="7"/>
      <c r="AC47" s="7"/>
      <c r="AD47" s="7"/>
      <c r="AE47" s="7"/>
    </row>
    <row r="48" spans="1:31" x14ac:dyDescent="0.2">
      <c r="A48" s="2" t="s">
        <v>51</v>
      </c>
      <c r="B48" s="2">
        <v>0</v>
      </c>
      <c r="C48" s="2">
        <v>0.7157</v>
      </c>
      <c r="D48" s="4">
        <f t="shared" si="0"/>
        <v>3.578470381979624E-3</v>
      </c>
      <c r="E48" s="6">
        <v>583.55900558481278</v>
      </c>
      <c r="F48" s="3">
        <v>8.6187651726882374E-3</v>
      </c>
      <c r="G48" s="3">
        <v>3.9897810797746361E-3</v>
      </c>
      <c r="H48" s="6">
        <v>11.345777245580024</v>
      </c>
      <c r="I48" s="3">
        <v>2.7905248284615613E-2</v>
      </c>
      <c r="J48" s="3">
        <v>3.8458465885242925E-2</v>
      </c>
      <c r="M48" s="6"/>
      <c r="N48" s="6"/>
      <c r="O48" s="5"/>
      <c r="P48" s="6"/>
      <c r="Q48" s="6"/>
      <c r="R48" s="6"/>
      <c r="S48" s="6"/>
      <c r="T48" s="8" t="s">
        <v>77</v>
      </c>
      <c r="U48" s="8">
        <f>AVERAGE(U40:U42)</f>
        <v>25.224385367016641</v>
      </c>
      <c r="V48" s="8">
        <f t="shared" ref="V48:AA48" si="55">AVERAGE(V40:V42)</f>
        <v>0</v>
      </c>
      <c r="W48" s="8">
        <f t="shared" si="55"/>
        <v>0.17267336388590546</v>
      </c>
      <c r="X48" s="8">
        <f>AVERAGE(X40:X42)</f>
        <v>25.397058730902547</v>
      </c>
      <c r="Y48" s="8">
        <f t="shared" si="55"/>
        <v>0.99375814351885816</v>
      </c>
      <c r="Z48" s="8">
        <f t="shared" si="55"/>
        <v>0</v>
      </c>
      <c r="AA48" s="10">
        <f t="shared" si="55"/>
        <v>6.2418564811420009E-3</v>
      </c>
      <c r="AB48" s="7"/>
      <c r="AC48" s="7"/>
      <c r="AD48" s="7"/>
      <c r="AE48" s="7"/>
    </row>
    <row r="49" spans="1:31" x14ac:dyDescent="0.2">
      <c r="A49" s="2" t="s">
        <v>52</v>
      </c>
      <c r="B49" s="2">
        <v>0</v>
      </c>
      <c r="C49" s="2">
        <v>0.7157</v>
      </c>
      <c r="D49" s="4">
        <f t="shared" si="0"/>
        <v>3.578470381979624E-3</v>
      </c>
      <c r="E49" s="6">
        <v>534.05945511882476</v>
      </c>
      <c r="F49" s="3">
        <v>7.3850982991139338E-3</v>
      </c>
      <c r="G49" s="3">
        <v>1.7425848154277153E-4</v>
      </c>
      <c r="H49" s="6">
        <v>15.259957743593043</v>
      </c>
      <c r="I49" s="3">
        <v>9.0446050379290432E-2</v>
      </c>
      <c r="J49" s="3">
        <v>0.15172413496828585</v>
      </c>
      <c r="M49" s="6"/>
      <c r="N49" s="6"/>
      <c r="O49" s="5"/>
      <c r="P49" s="6"/>
      <c r="Q49" s="6"/>
      <c r="R49" s="6"/>
      <c r="S49" s="6"/>
      <c r="T49" s="8" t="s">
        <v>78</v>
      </c>
      <c r="U49" s="8">
        <f>STDEV(U40:U42)</f>
        <v>7.632506883668893</v>
      </c>
      <c r="V49" s="8">
        <f t="shared" ref="V49:AA49" si="56">STDEV(V40:V42)</f>
        <v>0</v>
      </c>
      <c r="W49" s="8">
        <f t="shared" si="56"/>
        <v>0.20217085989374639</v>
      </c>
      <c r="X49" s="8">
        <f>STDEV(X40:X42)</f>
        <v>7.7584551276704232</v>
      </c>
      <c r="Y49" s="8">
        <f t="shared" si="56"/>
        <v>5.8846190092059214E-3</v>
      </c>
      <c r="Z49" s="8">
        <f t="shared" si="56"/>
        <v>0</v>
      </c>
      <c r="AA49" s="10">
        <f t="shared" si="56"/>
        <v>5.8846190092059023E-3</v>
      </c>
      <c r="AB49" s="7"/>
      <c r="AC49" s="7"/>
      <c r="AD49" s="7"/>
      <c r="AE49" s="7"/>
    </row>
    <row r="50" spans="1:31" x14ac:dyDescent="0.2">
      <c r="A50" s="2" t="s">
        <v>53</v>
      </c>
      <c r="B50" s="2">
        <v>0</v>
      </c>
      <c r="C50" s="2">
        <v>0.89459999999999995</v>
      </c>
      <c r="D50" s="4">
        <f t="shared" si="0"/>
        <v>3.578470381979624E-3</v>
      </c>
      <c r="E50" s="6">
        <v>526.02898568747332</v>
      </c>
      <c r="F50" s="3">
        <v>7.3471891492131111E-3</v>
      </c>
      <c r="G50" s="3">
        <v>1.1109060709931167E-4</v>
      </c>
      <c r="H50" s="6">
        <v>12.939623071972221</v>
      </c>
      <c r="I50" s="3">
        <v>3.2562149309979298E-2</v>
      </c>
      <c r="J50" s="3">
        <v>3.6572546270759433E-2</v>
      </c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Y50" s="6"/>
      <c r="Z50" s="6"/>
      <c r="AA50" s="5"/>
      <c r="AB50" s="4"/>
      <c r="AC50" s="4"/>
      <c r="AD50" s="4"/>
      <c r="AE50" s="4"/>
    </row>
    <row r="51" spans="1:31" x14ac:dyDescent="0.2">
      <c r="A51" s="2" t="s">
        <v>54</v>
      </c>
      <c r="B51" s="2">
        <v>3</v>
      </c>
      <c r="C51" s="2">
        <v>0.89459999999999995</v>
      </c>
      <c r="D51" s="4">
        <f t="shared" si="0"/>
        <v>3.578470381979624E-3</v>
      </c>
      <c r="E51" s="6">
        <v>528.23060730857071</v>
      </c>
      <c r="F51" s="3">
        <v>7.4629603097650645E-3</v>
      </c>
      <c r="G51" s="3">
        <v>3.8452698055406421E-4</v>
      </c>
      <c r="H51" s="6">
        <v>12.872163048069279</v>
      </c>
      <c r="I51" s="3">
        <v>6.6151387074051965E-2</v>
      </c>
      <c r="J51" s="3">
        <v>0.11876693040886287</v>
      </c>
      <c r="K51" s="6">
        <f>(F51*E51-(AVERAGE($F$49:$F$50)*AVERAGE($E$49:$E$50)))*C51/(D51*B51)</f>
        <v>3.1484504991048246</v>
      </c>
      <c r="L51" s="6">
        <f>(G51*E51-(AVERAGE($G$49:$G$50)*AVERAGE($E$49:$E$50)))*C51/(D51*B51)</f>
        <v>10.624382937721913</v>
      </c>
      <c r="M51" s="6">
        <f t="shared" ref="M51:M56" si="57">(H51*I51-(AVERAGE($H$48,$H$50)*AVERAGE($I$48,$I$50)))*C51/(D51*B51*1000)</f>
        <v>4.0365264497222844E-2</v>
      </c>
      <c r="N51" s="6">
        <f>(H51*J51-(AVERAGE($H$48,$H$50)*AVERAGE($J$48,$J$50)))*C51/(D51*B51*1000)</f>
        <v>8.9435553542308435E-2</v>
      </c>
      <c r="O51" s="5">
        <f t="shared" si="5"/>
        <v>0.22566676728918342</v>
      </c>
      <c r="P51" s="6">
        <f t="shared" si="6"/>
        <v>0.54105190555043881</v>
      </c>
      <c r="Q51" s="6">
        <f t="shared" si="7"/>
        <v>4.7951403039961233</v>
      </c>
      <c r="R51" s="6">
        <f t="shared" si="8"/>
        <v>10.624382937721913</v>
      </c>
      <c r="S51" s="6">
        <f t="shared" si="9"/>
        <v>-0.37160316499787555</v>
      </c>
      <c r="T51" s="6">
        <f t="shared" si="10"/>
        <v>-1.6466898048912988</v>
      </c>
      <c r="U51" s="6">
        <f t="shared" si="11"/>
        <v>5.8772441150970014</v>
      </c>
      <c r="V51" s="11">
        <v>0</v>
      </c>
      <c r="W51" s="6">
        <f t="shared" si="12"/>
        <v>4.9474363247083972E-2</v>
      </c>
      <c r="X51" s="6">
        <f>U51+V51+W51</f>
        <v>5.9267184783440854</v>
      </c>
      <c r="Y51" s="6">
        <f t="shared" si="14"/>
        <v>0.99165231764797657</v>
      </c>
      <c r="Z51" s="6">
        <f t="shared" si="15"/>
        <v>0</v>
      </c>
      <c r="AA51" s="5">
        <f t="shared" si="16"/>
        <v>8.3476823520234125E-3</v>
      </c>
      <c r="AB51" s="4"/>
      <c r="AC51" s="4"/>
      <c r="AD51" s="4"/>
      <c r="AE51" s="4"/>
    </row>
    <row r="52" spans="1:31" x14ac:dyDescent="0.2">
      <c r="A52" s="2" t="s">
        <v>55</v>
      </c>
      <c r="B52" s="2">
        <v>3</v>
      </c>
      <c r="C52" s="2">
        <v>0.89459999999999995</v>
      </c>
      <c r="D52" s="4">
        <f t="shared" si="0"/>
        <v>3.578470381979624E-3</v>
      </c>
      <c r="E52" s="6">
        <v>534.96561877950444</v>
      </c>
      <c r="F52" s="3">
        <v>7.4492718177316701E-3</v>
      </c>
      <c r="G52" s="3">
        <v>1.9466380304877123E-4</v>
      </c>
      <c r="H52" s="6">
        <v>13.643721959446674</v>
      </c>
      <c r="I52" s="3">
        <v>6.1682226055974829E-2</v>
      </c>
      <c r="J52" s="3">
        <v>5.5150789899718368E-2</v>
      </c>
      <c r="K52" s="6">
        <f t="shared" ref="K52:K56" si="58">(F52*E52-(AVERAGE($F$49:$F$50)*AVERAGE($E$49:$E$50)))*C52/(D52*B52)</f>
        <v>6.7267343429587685</v>
      </c>
      <c r="L52" s="6">
        <f t="shared" ref="L52:L56" si="59">(G52*E52-(AVERAGE($G$49:$G$50)*AVERAGE($E$49:$E$50)))*C52/(D52*B52)</f>
        <v>2.3761719504444594</v>
      </c>
      <c r="M52" s="6">
        <f t="shared" si="57"/>
        <v>3.9537255939153068E-2</v>
      </c>
      <c r="N52" s="6">
        <f t="shared" ref="N52:N56" si="60">(H52*J52-(AVERAGE($H$48,$H$50)*AVERAGE($J$48,$J$50)))*C52/(D52*B52*1000)</f>
        <v>2.474305514184626E-2</v>
      </c>
      <c r="O52" s="5">
        <f t="shared" si="5"/>
        <v>0.79895663070900191</v>
      </c>
      <c r="P52" s="6">
        <f t="shared" si="6"/>
        <v>1.5167858752823613</v>
      </c>
      <c r="Q52" s="6">
        <f t="shared" si="7"/>
        <v>3.7969166710246856</v>
      </c>
      <c r="R52" s="6">
        <f t="shared" si="8"/>
        <v>2.3761719504444594</v>
      </c>
      <c r="S52" s="6">
        <f t="shared" si="9"/>
        <v>2.3407972557601466</v>
      </c>
      <c r="T52" s="6">
        <f t="shared" si="10"/>
        <v>2.9298176719340829</v>
      </c>
      <c r="U52" s="6">
        <f t="shared" si="11"/>
        <v>6.8304884215894077</v>
      </c>
      <c r="V52" s="6">
        <f t="shared" si="17"/>
        <v>4.6815945115202933</v>
      </c>
      <c r="W52" s="6">
        <f t="shared" si="12"/>
        <v>7.1125808731778289E-2</v>
      </c>
      <c r="X52" s="6">
        <f t="shared" ref="X52:X56" si="61">U52+V52+W52</f>
        <v>11.58320874184148</v>
      </c>
      <c r="Y52" s="6">
        <f t="shared" si="14"/>
        <v>0.58968879641406757</v>
      </c>
      <c r="Z52" s="6">
        <f t="shared" si="15"/>
        <v>0.40417077995056672</v>
      </c>
      <c r="AA52" s="5">
        <f t="shared" si="16"/>
        <v>6.1404236353657235E-3</v>
      </c>
      <c r="AB52" s="4"/>
      <c r="AC52" s="4"/>
      <c r="AD52" s="4"/>
      <c r="AE52" s="4"/>
    </row>
    <row r="53" spans="1:31" x14ac:dyDescent="0.2">
      <c r="A53" s="2" t="s">
        <v>56</v>
      </c>
      <c r="B53" s="2">
        <v>3</v>
      </c>
      <c r="C53" s="2">
        <v>0.89459999999999995</v>
      </c>
      <c r="D53" s="4">
        <f t="shared" si="0"/>
        <v>3.578470381979624E-3</v>
      </c>
      <c r="E53" s="6">
        <v>540.10661038575199</v>
      </c>
      <c r="F53" s="3">
        <v>7.5474092236869341E-3</v>
      </c>
      <c r="G53" s="3">
        <v>3.4041875386825584E-4</v>
      </c>
      <c r="H53" s="6">
        <v>15.773766169377108</v>
      </c>
      <c r="I53" s="3">
        <v>9.9156669878916429E-2</v>
      </c>
      <c r="J53" s="3">
        <v>0.10875282953752823</v>
      </c>
      <c r="K53" s="6">
        <f t="shared" si="58"/>
        <v>14.335026829638842</v>
      </c>
      <c r="L53" s="6">
        <f t="shared" si="59"/>
        <v>9.0197060659840176</v>
      </c>
      <c r="M53" s="6">
        <f t="shared" si="57"/>
        <v>9.97443203075431E-2</v>
      </c>
      <c r="N53" s="6">
        <f t="shared" si="60"/>
        <v>0.10498978181647656</v>
      </c>
      <c r="O53" s="5">
        <f t="shared" si="5"/>
        <v>0.47501918082798483</v>
      </c>
      <c r="P53" s="6">
        <f t="shared" si="6"/>
        <v>2.0352355396150306</v>
      </c>
      <c r="Q53" s="6">
        <f t="shared" si="7"/>
        <v>8.5690667735458668</v>
      </c>
      <c r="R53" s="6">
        <f t="shared" si="8"/>
        <v>9.0197060659840176</v>
      </c>
      <c r="S53" s="6">
        <f t="shared" si="9"/>
        <v>2.7389416225321668</v>
      </c>
      <c r="T53" s="6">
        <f t="shared" si="10"/>
        <v>5.7659600560929753</v>
      </c>
      <c r="U53" s="6">
        <f t="shared" si="11"/>
        <v>12.639537852775927</v>
      </c>
      <c r="V53" s="6">
        <f t="shared" si="17"/>
        <v>5.4778832450643336</v>
      </c>
      <c r="W53" s="6">
        <f t="shared" si="12"/>
        <v>0.14712478563227635</v>
      </c>
      <c r="X53" s="6">
        <f t="shared" si="61"/>
        <v>18.264545883472536</v>
      </c>
      <c r="Y53" s="6">
        <f t="shared" si="14"/>
        <v>0.69202584796884326</v>
      </c>
      <c r="Z53" s="6">
        <f t="shared" si="15"/>
        <v>0.29991894022512944</v>
      </c>
      <c r="AA53" s="5">
        <f t="shared" si="16"/>
        <v>8.0552118060273573E-3</v>
      </c>
      <c r="AB53" s="4"/>
      <c r="AC53" s="4"/>
      <c r="AD53" s="4"/>
      <c r="AE53" s="4"/>
    </row>
    <row r="54" spans="1:31" x14ac:dyDescent="0.2">
      <c r="A54" s="2" t="s">
        <v>57</v>
      </c>
      <c r="B54" s="2">
        <v>6</v>
      </c>
      <c r="C54" s="2">
        <v>0.89459999999999995</v>
      </c>
      <c r="D54" s="4">
        <f t="shared" si="0"/>
        <v>3.578470381979624E-3</v>
      </c>
      <c r="E54" s="6">
        <v>530.1818578973739</v>
      </c>
      <c r="F54" s="3">
        <v>7.6085785647409879E-3</v>
      </c>
      <c r="G54" s="3">
        <v>3.7927191227463911E-4</v>
      </c>
      <c r="H54" s="6">
        <v>13.664661163998627</v>
      </c>
      <c r="I54" s="3">
        <v>7.6740445323174547E-2</v>
      </c>
      <c r="J54" s="3">
        <v>7.4577882267350015E-2</v>
      </c>
      <c r="K54" s="6">
        <f t="shared" si="58"/>
        <v>5.3977443241645942</v>
      </c>
      <c r="L54" s="6">
        <f t="shared" si="59"/>
        <v>5.227366746968432</v>
      </c>
      <c r="M54" s="6">
        <f t="shared" si="57"/>
        <v>2.8395834983497095E-2</v>
      </c>
      <c r="N54" s="6">
        <f t="shared" si="60"/>
        <v>2.348045275252688E-2</v>
      </c>
      <c r="O54" s="5">
        <f t="shared" si="5"/>
        <v>0.60466966465204208</v>
      </c>
      <c r="P54" s="6">
        <f t="shared" si="6"/>
        <v>1.9112580753208694</v>
      </c>
      <c r="Q54" s="6">
        <f t="shared" si="7"/>
        <v>6.3216601958052756</v>
      </c>
      <c r="R54" s="6">
        <f t="shared" si="8"/>
        <v>5.227366746968432</v>
      </c>
      <c r="S54" s="6">
        <f t="shared" si="9"/>
        <v>-0.55866390027167001</v>
      </c>
      <c r="T54" s="6">
        <f t="shared" si="10"/>
        <v>-0.92391587164068145</v>
      </c>
      <c r="U54" s="6">
        <f t="shared" si="11"/>
        <v>10.144176346447015</v>
      </c>
      <c r="V54" s="11">
        <v>0</v>
      </c>
      <c r="W54" s="6">
        <f t="shared" si="12"/>
        <v>4.5565935000483011E-2</v>
      </c>
      <c r="X54" s="6">
        <f t="shared" si="61"/>
        <v>10.189742281447497</v>
      </c>
      <c r="Y54" s="6">
        <f t="shared" si="14"/>
        <v>0.99552825442077719</v>
      </c>
      <c r="Z54" s="6">
        <f t="shared" si="15"/>
        <v>0</v>
      </c>
      <c r="AA54" s="5">
        <f t="shared" si="16"/>
        <v>4.4717455792228512E-3</v>
      </c>
      <c r="AB54" s="4"/>
      <c r="AC54" s="4"/>
      <c r="AD54" s="4"/>
      <c r="AE54" s="4"/>
    </row>
    <row r="55" spans="1:31" x14ac:dyDescent="0.2">
      <c r="A55" s="2" t="s">
        <v>58</v>
      </c>
      <c r="B55" s="2">
        <v>6</v>
      </c>
      <c r="C55" s="2">
        <v>0.89459999999999995</v>
      </c>
      <c r="D55" s="4">
        <f t="shared" si="0"/>
        <v>3.578470381979624E-3</v>
      </c>
      <c r="E55" s="6">
        <v>537.59160626127459</v>
      </c>
      <c r="F55" s="3">
        <v>7.6078853383716926E-3</v>
      </c>
      <c r="G55" s="3">
        <v>4.3322285527275982E-4</v>
      </c>
      <c r="H55" s="6">
        <v>17.944044601448944</v>
      </c>
      <c r="I55" s="3">
        <v>0.17484337820564697</v>
      </c>
      <c r="J55" s="3">
        <v>0.17261074839381627</v>
      </c>
      <c r="K55" s="6">
        <f t="shared" si="58"/>
        <v>7.7312392566068571</v>
      </c>
      <c r="L55" s="6">
        <f t="shared" si="59"/>
        <v>6.5529191559730284</v>
      </c>
      <c r="M55" s="6">
        <f t="shared" si="57"/>
        <v>0.11542600630334876</v>
      </c>
      <c r="N55" s="6">
        <f t="shared" si="60"/>
        <v>0.11007264445687448</v>
      </c>
      <c r="O55" s="5">
        <f t="shared" si="5"/>
        <v>0.52431740362416601</v>
      </c>
      <c r="P55" s="6">
        <f t="shared" si="6"/>
        <v>1.8014547468075315</v>
      </c>
      <c r="Q55" s="6">
        <f t="shared" si="7"/>
        <v>6.8716191160376789</v>
      </c>
      <c r="R55" s="6">
        <f t="shared" si="8"/>
        <v>6.5529191559730284</v>
      </c>
      <c r="S55" s="6">
        <f t="shared" si="9"/>
        <v>0.45071380020627211</v>
      </c>
      <c r="T55" s="6">
        <f t="shared" si="10"/>
        <v>0.85962014056917813</v>
      </c>
      <c r="U55" s="6">
        <f t="shared" si="11"/>
        <v>10.474528609652742</v>
      </c>
      <c r="V55" s="6">
        <f t="shared" si="17"/>
        <v>0.90142760041254422</v>
      </c>
      <c r="W55" s="6">
        <f t="shared" si="12"/>
        <v>0.17594587023902719</v>
      </c>
      <c r="X55" s="6">
        <f t="shared" si="61"/>
        <v>11.551902080304314</v>
      </c>
      <c r="Y55" s="6">
        <f t="shared" si="14"/>
        <v>0.90673627051527161</v>
      </c>
      <c r="Z55" s="6">
        <f t="shared" si="15"/>
        <v>7.8032829065392981E-2</v>
      </c>
      <c r="AA55" s="5">
        <f t="shared" si="16"/>
        <v>1.5230900419335291E-2</v>
      </c>
      <c r="AB55" s="4"/>
      <c r="AC55" s="4"/>
      <c r="AD55" s="4"/>
      <c r="AE55" s="4"/>
    </row>
    <row r="56" spans="1:31" x14ac:dyDescent="0.2">
      <c r="A56" s="2" t="s">
        <v>59</v>
      </c>
      <c r="B56" s="2">
        <v>6</v>
      </c>
      <c r="C56" s="2">
        <v>0.89459999999999995</v>
      </c>
      <c r="D56" s="4">
        <f t="shared" si="0"/>
        <v>3.578470381979624E-3</v>
      </c>
      <c r="E56" s="6">
        <v>536.87082387891689</v>
      </c>
      <c r="F56" s="3">
        <v>7.5602972964068553E-3</v>
      </c>
      <c r="G56" s="3">
        <v>2.8705731886784723E-4</v>
      </c>
      <c r="H56" s="6">
        <v>13.245296771678678</v>
      </c>
      <c r="I56" s="3">
        <v>5.7329474498761454E-2</v>
      </c>
      <c r="J56" s="3">
        <v>4.8455737308861276E-2</v>
      </c>
      <c r="K56" s="6">
        <f t="shared" si="58"/>
        <v>6.438253812131018</v>
      </c>
      <c r="L56" s="6">
        <f t="shared" si="59"/>
        <v>3.2703057471674399</v>
      </c>
      <c r="M56" s="6">
        <f t="shared" si="57"/>
        <v>1.634247708007781E-2</v>
      </c>
      <c r="N56" s="6">
        <f t="shared" si="60"/>
        <v>7.7611423218492204E-3</v>
      </c>
      <c r="O56" s="5">
        <f t="shared" si="5"/>
        <v>1.0528396724584188</v>
      </c>
      <c r="P56" s="6">
        <f t="shared" si="6"/>
        <v>3.6250403111840566</v>
      </c>
      <c r="Q56" s="6">
        <f t="shared" si="7"/>
        <v>6.8862152633733045</v>
      </c>
      <c r="R56" s="6">
        <f t="shared" si="8"/>
        <v>3.2703057471674399</v>
      </c>
      <c r="S56" s="6">
        <f t="shared" si="9"/>
        <v>-0.47163158759992685</v>
      </c>
      <c r="T56" s="6">
        <f t="shared" si="10"/>
        <v>-0.44796145124228648</v>
      </c>
      <c r="U56" s="6">
        <f t="shared" si="11"/>
        <v>14.136295885741418</v>
      </c>
      <c r="V56" s="11">
        <v>0</v>
      </c>
      <c r="W56" s="6">
        <f t="shared" si="12"/>
        <v>3.3548485296226151E-2</v>
      </c>
      <c r="X56" s="6">
        <f t="shared" si="61"/>
        <v>14.169844371037644</v>
      </c>
      <c r="Y56" s="6">
        <f>U56/(U56+V56+W56)</f>
        <v>0.99763240269845188</v>
      </c>
      <c r="Z56" s="6">
        <f>V56/(U56+V56+W56)</f>
        <v>0</v>
      </c>
      <c r="AA56" s="5">
        <f>W56/(U56+V56+W56)</f>
        <v>2.3675973015481627E-3</v>
      </c>
      <c r="AB56" s="4"/>
      <c r="AC56" s="4"/>
      <c r="AD56" s="4"/>
      <c r="AE56" s="4"/>
    </row>
    <row r="57" spans="1:31" x14ac:dyDescent="0.2">
      <c r="T57" s="8" t="s">
        <v>73</v>
      </c>
      <c r="U57" s="8">
        <f>AVERAGE(U51:U56)</f>
        <v>10.017045205217253</v>
      </c>
      <c r="V57" s="8">
        <f t="shared" ref="V57:AA57" si="62">AVERAGE(V51:V56)</f>
        <v>1.8434842261661952</v>
      </c>
      <c r="W57" s="8">
        <f t="shared" si="62"/>
        <v>8.7130874691145832E-2</v>
      </c>
      <c r="X57" s="8">
        <f t="shared" si="62"/>
        <v>11.947660306074594</v>
      </c>
      <c r="Y57" s="8">
        <f t="shared" si="62"/>
        <v>0.86221064827756466</v>
      </c>
      <c r="Z57" s="8">
        <f t="shared" si="62"/>
        <v>0.13035375820684819</v>
      </c>
      <c r="AA57" s="10">
        <f t="shared" si="62"/>
        <v>7.4355935155871328E-3</v>
      </c>
      <c r="AB57" s="7">
        <f t="shared" ref="AB57:AD58" si="63">U57/3200</f>
        <v>3.1303266266303914E-3</v>
      </c>
      <c r="AC57" s="7">
        <f t="shared" si="63"/>
        <v>5.7608882067693601E-4</v>
      </c>
      <c r="AD57" s="7">
        <f t="shared" si="63"/>
        <v>2.7228398340983074E-5</v>
      </c>
      <c r="AE57" s="7">
        <f>X57/3200</f>
        <v>3.7336438456483105E-3</v>
      </c>
    </row>
    <row r="58" spans="1:31" x14ac:dyDescent="0.2">
      <c r="T58" s="8" t="s">
        <v>74</v>
      </c>
      <c r="U58" s="8">
        <f>STDEV(U51:U56)</f>
        <v>3.2050973292225575</v>
      </c>
      <c r="V58" s="8">
        <f t="shared" ref="V58:AA58" si="64">STDEV(V51:V56)</f>
        <v>2.5434818333496136</v>
      </c>
      <c r="W58" s="8">
        <f t="shared" si="64"/>
        <v>5.9599101401682529E-2</v>
      </c>
      <c r="X58" s="8">
        <f t="shared" si="64"/>
        <v>4.1102946659983921</v>
      </c>
      <c r="Y58" s="8">
        <f t="shared" si="64"/>
        <v>0.17780963893021745</v>
      </c>
      <c r="Z58" s="8">
        <f t="shared" si="64"/>
        <v>0.17744965416233777</v>
      </c>
      <c r="AA58" s="10">
        <f t="shared" si="64"/>
        <v>4.430103561522244E-3</v>
      </c>
      <c r="AB58" s="7">
        <f t="shared" si="63"/>
        <v>1.0015929153820492E-3</v>
      </c>
      <c r="AC58" s="7">
        <f t="shared" si="63"/>
        <v>7.9483807292175422E-4</v>
      </c>
      <c r="AD58" s="7">
        <f t="shared" si="63"/>
        <v>1.862471918802579E-5</v>
      </c>
      <c r="AE58" s="7">
        <f>X58/3200</f>
        <v>1.2844670831244976E-3</v>
      </c>
    </row>
    <row r="59" spans="1:31" x14ac:dyDescent="0.2">
      <c r="T59" s="8" t="s">
        <v>80</v>
      </c>
      <c r="U59" s="8">
        <f>AVERAGE(U51:U53)</f>
        <v>8.4490901298207799</v>
      </c>
      <c r="V59" s="8">
        <f t="shared" ref="V59:AA59" si="65">AVERAGE(V51:V53)</f>
        <v>3.3864925855282091</v>
      </c>
      <c r="W59" s="8">
        <f t="shared" si="65"/>
        <v>8.9241652537046204E-2</v>
      </c>
      <c r="X59" s="8">
        <f t="shared" si="65"/>
        <v>11.924824367886034</v>
      </c>
      <c r="Y59" s="8">
        <f t="shared" si="65"/>
        <v>0.75778898734362909</v>
      </c>
      <c r="Z59" s="8">
        <f t="shared" si="65"/>
        <v>0.23469657339189873</v>
      </c>
      <c r="AA59" s="10">
        <f t="shared" si="65"/>
        <v>7.5144392644721641E-3</v>
      </c>
      <c r="AB59" s="8"/>
      <c r="AC59" s="8"/>
      <c r="AD59" s="8"/>
      <c r="AE59" s="8"/>
    </row>
    <row r="60" spans="1:31" x14ac:dyDescent="0.2">
      <c r="T60" s="8" t="s">
        <v>81</v>
      </c>
      <c r="U60" s="8">
        <f>STDEV(U51:U53)</f>
        <v>3.6601991429538381</v>
      </c>
      <c r="V60" s="8">
        <f t="shared" ref="V60:AA60" si="66">STDEV(V51:V53)</f>
        <v>2.9596905177181019</v>
      </c>
      <c r="W60" s="8">
        <f t="shared" si="66"/>
        <v>5.1283906789403914E-2</v>
      </c>
      <c r="X60" s="8">
        <f t="shared" si="66"/>
        <v>6.1760037400128729</v>
      </c>
      <c r="Y60" s="8">
        <f t="shared" si="66"/>
        <v>0.20889533497905505</v>
      </c>
      <c r="Z60" s="8">
        <f t="shared" si="66"/>
        <v>0.2098308192162408</v>
      </c>
      <c r="AA60" s="10">
        <f t="shared" si="66"/>
        <v>1.1988844676783432E-3</v>
      </c>
      <c r="AB60" s="8"/>
      <c r="AC60" s="8"/>
      <c r="AD60" s="8"/>
      <c r="AE60" s="8"/>
    </row>
    <row r="61" spans="1:31" x14ac:dyDescent="0.2">
      <c r="T61" s="8" t="s">
        <v>77</v>
      </c>
      <c r="U61" s="8">
        <f>AVERAGE(U54:U56)</f>
        <v>11.585000280613725</v>
      </c>
      <c r="V61" s="8">
        <f t="shared" ref="V61:AA61" si="67">AVERAGE(V54:V56)</f>
        <v>0.30047586680418142</v>
      </c>
      <c r="W61" s="8">
        <f t="shared" si="67"/>
        <v>8.502009684524546E-2</v>
      </c>
      <c r="X61" s="8">
        <f t="shared" si="67"/>
        <v>11.970496244263151</v>
      </c>
      <c r="Y61" s="8">
        <f t="shared" si="67"/>
        <v>0.96663230921150023</v>
      </c>
      <c r="Z61" s="8">
        <f t="shared" si="67"/>
        <v>2.6010943021797659E-2</v>
      </c>
      <c r="AA61" s="10">
        <f t="shared" si="67"/>
        <v>7.3567477667021023E-3</v>
      </c>
      <c r="AB61" s="8"/>
      <c r="AC61" s="8"/>
      <c r="AD61" s="8"/>
      <c r="AE61" s="8"/>
    </row>
    <row r="62" spans="1:31" x14ac:dyDescent="0.2">
      <c r="T62" s="8" t="s">
        <v>78</v>
      </c>
      <c r="U62" s="8">
        <f>STDEV(U54:U56)</f>
        <v>2.2156522974079693</v>
      </c>
      <c r="V62" s="8">
        <f t="shared" ref="V62:AA62" si="68">STDEV(V54:V56)</f>
        <v>0.52043946775314076</v>
      </c>
      <c r="W62" s="8">
        <f t="shared" si="68"/>
        <v>7.8972950905937367E-2</v>
      </c>
      <c r="X62" s="8">
        <f t="shared" si="68"/>
        <v>2.0227997840778316</v>
      </c>
      <c r="Y62" s="8">
        <f t="shared" si="68"/>
        <v>5.1882159251699395E-2</v>
      </c>
      <c r="Z62" s="8">
        <f t="shared" si="68"/>
        <v>4.5052274866532696E-2</v>
      </c>
      <c r="AA62" s="10">
        <f t="shared" si="68"/>
        <v>6.899896375405795E-3</v>
      </c>
      <c r="AB62" s="8"/>
      <c r="AC62" s="8"/>
      <c r="AD62" s="8"/>
      <c r="AE62" s="8"/>
    </row>
    <row r="63" spans="1:31" x14ac:dyDescent="0.2">
      <c r="AA63" s="5"/>
    </row>
    <row r="64" spans="1:31" x14ac:dyDescent="0.2">
      <c r="V64" s="2" t="s">
        <v>85</v>
      </c>
      <c r="Y64" s="6">
        <f>AVERAGE(Y51:Y56,Y36:Y38,Y40:Y42,Y21:Y28,Y6:Y13)</f>
        <v>0.84200384468542688</v>
      </c>
      <c r="Z64" s="6">
        <f>AVERAGE(Z51:Z56,Z36:Z38,Z40:Z42,Z21:Z28,Z6:Z13)</f>
        <v>0.14121234290123424</v>
      </c>
      <c r="AA64" s="5">
        <f>AVERAGE(AA51:AA56,AA36:AA38,AA40:AA42,AA21:AA28,AA6:AA13)</f>
        <v>1.6783812413338685E-2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Kateri Salk</cp:lastModifiedBy>
  <dcterms:created xsi:type="dcterms:W3CDTF">2016-03-08T14:17:37Z</dcterms:created>
  <dcterms:modified xsi:type="dcterms:W3CDTF">2017-12-07T15:15:43Z</dcterms:modified>
</cp:coreProperties>
</file>